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ml.chartshapes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ml.chartshapes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1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harts/chart12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8.xml" ContentType="application/vnd.openxmlformats-officedocument.drawing+xml"/>
  <Override PartName="/xl/charts/chart1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0.xml" ContentType="application/vnd.openxmlformats-officedocument.drawingml.chartshapes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0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2.xml" ContentType="application/vnd.openxmlformats-officedocument.drawingml.chartshapes+xml"/>
  <Override PartName="/xl/charts/chart22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13.xml" ContentType="application/vnd.openxmlformats-officedocument.drawingml.chartshape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5"/>
  <workbookPr/>
  <mc:AlternateContent xmlns:mc="http://schemas.openxmlformats.org/markup-compatibility/2006">
    <mc:Choice Requires="x15">
      <x15ac:absPath xmlns:x15ac="http://schemas.microsoft.com/office/spreadsheetml/2010/11/ac" url="https://theshiftpr0ject.sharepoint.com/sites/TSP/Projets/Programme Numérique/4 - Projets/2025 - PIA/6 - RF/"/>
    </mc:Choice>
  </mc:AlternateContent>
  <xr:revisionPtr revIDLastSave="18" documentId="8_{E240E406-371A-0743-84A1-2CF558052057}" xr6:coauthVersionLast="47" xr6:coauthVersionMax="47" xr10:uidLastSave="{383383A9-C3BE-4BD1-A7C7-DCF1DE8F9A49}"/>
  <bookViews>
    <workbookView xWindow="-110" yWindow="-110" windowWidth="19420" windowHeight="10300" tabRatio="819" xr2:uid="{0744C01A-858D-024D-BEE8-CA02BF1FFE65}"/>
  </bookViews>
  <sheets>
    <sheet name="Modelisation" sheetId="1" r:id="rId1"/>
    <sheet name="HPC" sheetId="3" r:id="rId2"/>
    <sheet name="Annonces sommet IA" sheetId="16" r:id="rId3"/>
    <sheet name="Colocation" sheetId="4" r:id="rId4"/>
    <sheet name="Edge, entreprises" sheetId="17" r:id="rId5"/>
    <sheet name="Sc ancien tendanciel" sheetId="10" r:id="rId6"/>
    <sheet name="Sc nouveau tendanciel" sheetId="6" r:id="rId7"/>
    <sheet name="Sc cible" sheetId="11" r:id="rId8"/>
    <sheet name="Dashboard" sheetId="13" r:id="rId9"/>
    <sheet name="Graphiques" sheetId="19" r:id="rId10"/>
  </sheets>
  <externalReferences>
    <externalReference r:id="rId11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1" i="19" l="1"/>
  <c r="D98" i="11" l="1"/>
  <c r="G14" i="1"/>
  <c r="F14" i="1"/>
  <c r="C19" i="1" s="1"/>
  <c r="E14" i="1"/>
  <c r="D14" i="1"/>
  <c r="C14" i="1"/>
  <c r="H7" i="1"/>
  <c r="G7" i="1"/>
  <c r="F7" i="1"/>
  <c r="D19" i="1" s="1"/>
  <c r="E7" i="1"/>
  <c r="D7" i="1"/>
  <c r="C7" i="1"/>
  <c r="C20" i="1" l="1"/>
  <c r="D20" i="1"/>
  <c r="C40" i="6"/>
  <c r="D37" i="6"/>
  <c r="E37" i="6"/>
  <c r="F37" i="6"/>
  <c r="G37" i="6"/>
  <c r="C37" i="6"/>
  <c r="C39" i="17"/>
  <c r="D9" i="17"/>
  <c r="D10" i="17" s="1"/>
  <c r="D11" i="17" s="1"/>
  <c r="C16" i="17" s="1"/>
  <c r="C22" i="17" s="1"/>
  <c r="E9" i="17"/>
  <c r="E10" i="17" s="1"/>
  <c r="E11" i="17" s="1"/>
  <c r="F9" i="17"/>
  <c r="F10" i="17" s="1"/>
  <c r="F11" i="17" s="1"/>
  <c r="G9" i="17"/>
  <c r="G10" i="17" s="1"/>
  <c r="G11" i="17" s="1"/>
  <c r="H9" i="17"/>
  <c r="H10" i="17" s="1"/>
  <c r="H11" i="17" s="1"/>
  <c r="D16" i="17" s="1"/>
  <c r="D40" i="6" s="1"/>
  <c r="C9" i="17"/>
  <c r="E8" i="17"/>
  <c r="F8" i="17"/>
  <c r="G8" i="17"/>
  <c r="H8" i="17"/>
  <c r="D8" i="17"/>
  <c r="Q39" i="17"/>
  <c r="C4" i="17" l="1"/>
  <c r="I7" i="17" s="1"/>
  <c r="I8" i="17" s="1"/>
  <c r="D23" i="17"/>
  <c r="C10" i="17"/>
  <c r="C11" i="17" s="1"/>
  <c r="E23" i="17"/>
  <c r="F23" i="17" s="1"/>
  <c r="G23" i="17" s="1"/>
  <c r="H23" i="17" s="1"/>
  <c r="I23" i="17" s="1"/>
  <c r="J23" i="17" s="1"/>
  <c r="K23" i="17" s="1"/>
  <c r="L23" i="17" s="1"/>
  <c r="M23" i="17" s="1"/>
  <c r="N23" i="17" s="1"/>
  <c r="O23" i="17" s="1"/>
  <c r="D22" i="17"/>
  <c r="J7" i="17" l="1"/>
  <c r="I9" i="17"/>
  <c r="I10" i="17" s="1"/>
  <c r="I11" i="17" s="1"/>
  <c r="E16" i="17" s="1"/>
  <c r="E40" i="6" s="1"/>
  <c r="J9" i="17"/>
  <c r="J10" i="17" s="1"/>
  <c r="J11" i="17" s="1"/>
  <c r="F16" i="17" s="1"/>
  <c r="F40" i="6" s="1"/>
  <c r="K7" i="17"/>
  <c r="E22" i="17"/>
  <c r="E24" i="17"/>
  <c r="F24" i="17" s="1"/>
  <c r="G24" i="17" s="1"/>
  <c r="H24" i="17" s="1"/>
  <c r="I24" i="17" s="1"/>
  <c r="J24" i="17" s="1"/>
  <c r="K24" i="17" s="1"/>
  <c r="L24" i="17" s="1"/>
  <c r="M24" i="17" s="1"/>
  <c r="N24" i="17" s="1"/>
  <c r="O24" i="17" s="1"/>
  <c r="L7" i="17" l="1"/>
  <c r="K9" i="17"/>
  <c r="K10" i="17" s="1"/>
  <c r="K11" i="17" s="1"/>
  <c r="G16" i="17" s="1"/>
  <c r="G40" i="6" s="1"/>
  <c r="F25" i="17"/>
  <c r="F22" i="17"/>
  <c r="M7" i="17" l="1"/>
  <c r="L9" i="17"/>
  <c r="G25" i="17"/>
  <c r="G22" i="17"/>
  <c r="H25" i="17"/>
  <c r="H26" i="17"/>
  <c r="G26" i="17"/>
  <c r="L10" i="17" l="1"/>
  <c r="L11" i="17"/>
  <c r="H16" i="17" s="1"/>
  <c r="N7" i="17"/>
  <c r="M9" i="17"/>
  <c r="I25" i="17"/>
  <c r="I26" i="17"/>
  <c r="H22" i="17"/>
  <c r="H27" i="17" l="1"/>
  <c r="I27" i="17" s="1"/>
  <c r="J27" i="17" s="1"/>
  <c r="K27" i="17" s="1"/>
  <c r="L27" i="17" s="1"/>
  <c r="M27" i="17" s="1"/>
  <c r="N27" i="17" s="1"/>
  <c r="O27" i="17" s="1"/>
  <c r="H40" i="6"/>
  <c r="M10" i="17"/>
  <c r="M11" i="17" s="1"/>
  <c r="I16" i="17" s="1"/>
  <c r="O7" i="17"/>
  <c r="N9" i="17"/>
  <c r="N10" i="17" s="1"/>
  <c r="N11" i="17" s="1"/>
  <c r="J16" i="17" s="1"/>
  <c r="J40" i="6" s="1"/>
  <c r="J25" i="17"/>
  <c r="J26" i="17"/>
  <c r="I22" i="17"/>
  <c r="I40" i="6" l="1"/>
  <c r="I28" i="17"/>
  <c r="J28" i="17" s="1"/>
  <c r="K28" i="17" s="1"/>
  <c r="L28" i="17" s="1"/>
  <c r="M28" i="17" s="1"/>
  <c r="N28" i="17" s="1"/>
  <c r="O28" i="17" s="1"/>
  <c r="P7" i="17"/>
  <c r="O9" i="17"/>
  <c r="J22" i="17"/>
  <c r="J29" i="17"/>
  <c r="K29" i="17" s="1"/>
  <c r="L29" i="17" s="1"/>
  <c r="M29" i="17" s="1"/>
  <c r="N29" i="17" s="1"/>
  <c r="O29" i="17" s="1"/>
  <c r="K26" i="17"/>
  <c r="K25" i="17"/>
  <c r="O10" i="17" l="1"/>
  <c r="O11" i="17" s="1"/>
  <c r="K16" i="17" s="1"/>
  <c r="Q7" i="17"/>
  <c r="P9" i="17"/>
  <c r="P10" i="17" s="1"/>
  <c r="P11" i="17" s="1"/>
  <c r="L16" i="17" s="1"/>
  <c r="L40" i="6" s="1"/>
  <c r="L25" i="17"/>
  <c r="L26" i="17"/>
  <c r="K22" i="17"/>
  <c r="K30" i="17" l="1"/>
  <c r="L30" i="17" s="1"/>
  <c r="M30" i="17" s="1"/>
  <c r="N30" i="17" s="1"/>
  <c r="O30" i="17" s="1"/>
  <c r="K40" i="6"/>
  <c r="R7" i="17"/>
  <c r="Q9" i="17"/>
  <c r="Q10" i="17" s="1"/>
  <c r="Q11" i="17" s="1"/>
  <c r="M16" i="17" s="1"/>
  <c r="M40" i="6" s="1"/>
  <c r="L22" i="17"/>
  <c r="M26" i="17"/>
  <c r="M25" i="17"/>
  <c r="L31" i="17"/>
  <c r="M31" i="17" s="1"/>
  <c r="N31" i="17" s="1"/>
  <c r="O31" i="17" s="1"/>
  <c r="S7" i="17" l="1"/>
  <c r="S9" i="17" s="1"/>
  <c r="S10" i="17" s="1"/>
  <c r="S11" i="17" s="1"/>
  <c r="O16" i="17" s="1"/>
  <c r="O40" i="6" s="1"/>
  <c r="R9" i="17"/>
  <c r="R10" i="17" s="1"/>
  <c r="R11" i="17" s="1"/>
  <c r="N16" i="17" s="1"/>
  <c r="N40" i="6" s="1"/>
  <c r="M32" i="17"/>
  <c r="N32" i="17" s="1"/>
  <c r="O32" i="17" s="1"/>
  <c r="N26" i="17"/>
  <c r="N25" i="17"/>
  <c r="M22" i="17"/>
  <c r="N22" i="17" l="1"/>
  <c r="O26" i="17"/>
  <c r="O25" i="17"/>
  <c r="O34" i="17"/>
  <c r="N33" i="17"/>
  <c r="O33" i="17" s="1"/>
  <c r="O22" i="17" l="1"/>
  <c r="B30" i="11" l="1"/>
  <c r="B31" i="11"/>
  <c r="B32" i="11"/>
  <c r="B33" i="11"/>
  <c r="B34" i="11"/>
  <c r="B29" i="11"/>
  <c r="C8" i="10"/>
  <c r="C7" i="10"/>
  <c r="C6" i="10"/>
  <c r="D5" i="6"/>
  <c r="D29" i="11" s="1"/>
  <c r="E5" i="6"/>
  <c r="E29" i="11" s="1"/>
  <c r="F5" i="6"/>
  <c r="F29" i="11" s="1"/>
  <c r="G5" i="6"/>
  <c r="G29" i="11" s="1"/>
  <c r="C5" i="6"/>
  <c r="C29" i="11" s="1"/>
  <c r="D70" i="1"/>
  <c r="E70" i="1" s="1"/>
  <c r="F70" i="1" s="1"/>
  <c r="G70" i="1" s="1"/>
  <c r="H70" i="1" s="1"/>
  <c r="I70" i="1" s="1"/>
  <c r="J70" i="1" s="1"/>
  <c r="K70" i="1" s="1"/>
  <c r="L70" i="1" s="1"/>
  <c r="M70" i="1" s="1"/>
  <c r="N70" i="1" s="1"/>
  <c r="O70" i="1" s="1"/>
  <c r="P70" i="1" s="1"/>
  <c r="F141" i="11"/>
  <c r="I160" i="11" s="1"/>
  <c r="F138" i="11"/>
  <c r="I157" i="11" s="1"/>
  <c r="F139" i="11"/>
  <c r="I158" i="11" s="1"/>
  <c r="F140" i="11"/>
  <c r="I159" i="11" s="1"/>
  <c r="F137" i="11"/>
  <c r="I156" i="11" s="1"/>
  <c r="E134" i="11"/>
  <c r="E135" i="11"/>
  <c r="E136" i="11"/>
  <c r="E133" i="11"/>
  <c r="C117" i="11"/>
  <c r="C136" i="11" s="1"/>
  <c r="C135" i="11" l="1"/>
  <c r="C134" i="11"/>
  <c r="C133" i="11"/>
  <c r="G20" i="16" l="1"/>
  <c r="C20" i="16"/>
  <c r="G180" i="11"/>
  <c r="B180" i="11"/>
  <c r="G73" i="11" l="1"/>
  <c r="F180" i="11" s="1"/>
  <c r="F73" i="11"/>
  <c r="E73" i="11"/>
  <c r="F73" i="6"/>
  <c r="F98" i="11"/>
  <c r="G72" i="11" s="1"/>
  <c r="C98" i="11"/>
  <c r="C72" i="11" s="1"/>
  <c r="E98" i="11"/>
  <c r="E72" i="11"/>
  <c r="F87" i="11"/>
  <c r="E87" i="11"/>
  <c r="D87" i="11"/>
  <c r="C87" i="11"/>
  <c r="B87" i="11"/>
  <c r="C169" i="11" l="1"/>
  <c r="C72" i="19" s="1"/>
  <c r="C148" i="11"/>
  <c r="D180" i="11" s="1"/>
  <c r="F72" i="11"/>
  <c r="C180" i="11" l="1"/>
  <c r="C154" i="11"/>
  <c r="C153" i="11"/>
  <c r="C155" i="11"/>
  <c r="C152" i="11"/>
  <c r="C156" i="11" s="1"/>
  <c r="C157" i="11" s="1"/>
  <c r="C158" i="11" s="1"/>
  <c r="C159" i="11" s="1"/>
  <c r="C160" i="11" s="1"/>
  <c r="H180" i="11"/>
  <c r="F66" i="6"/>
  <c r="C73" i="6"/>
  <c r="E73" i="6"/>
  <c r="D72" i="1" l="1"/>
  <c r="H72" i="1"/>
  <c r="D20" i="16" l="1"/>
  <c r="I72" i="1"/>
  <c r="I20" i="16" s="1"/>
  <c r="H20" i="16"/>
  <c r="J72" i="1"/>
  <c r="J20" i="16" s="1"/>
  <c r="E72" i="1"/>
  <c r="E20" i="16" s="1"/>
  <c r="L50" i="1"/>
  <c r="L4" i="16" s="1"/>
  <c r="M50" i="1"/>
  <c r="N50" i="1"/>
  <c r="O50" i="1"/>
  <c r="E58" i="1"/>
  <c r="I50" i="1" s="1"/>
  <c r="I4" i="16" s="1"/>
  <c r="I37" i="6" s="1"/>
  <c r="F58" i="1"/>
  <c r="J50" i="1" s="1"/>
  <c r="J4" i="16" s="1"/>
  <c r="G58" i="1"/>
  <c r="K50" i="1" s="1"/>
  <c r="K4" i="16" s="1"/>
  <c r="D58" i="1"/>
  <c r="H50" i="1" s="1"/>
  <c r="H4" i="16" s="1"/>
  <c r="O43" i="1"/>
  <c r="E57" i="1"/>
  <c r="F57" i="1"/>
  <c r="G57" i="1"/>
  <c r="H57" i="1"/>
  <c r="I57" i="1"/>
  <c r="J57" i="1"/>
  <c r="O45" i="1" s="1"/>
  <c r="K57" i="1"/>
  <c r="L57" i="1"/>
  <c r="D57" i="1"/>
  <c r="E43" i="1" s="1"/>
  <c r="E86" i="1" s="1"/>
  <c r="F86" i="1" s="1"/>
  <c r="G86" i="1" s="1"/>
  <c r="H86" i="1" s="1"/>
  <c r="I86" i="1" s="1"/>
  <c r="J86" i="1" s="1"/>
  <c r="K86" i="1" s="1"/>
  <c r="L86" i="1" s="1"/>
  <c r="M86" i="1" s="1"/>
  <c r="N86" i="1" s="1"/>
  <c r="O86" i="1" s="1"/>
  <c r="C8" i="1"/>
  <c r="E56" i="1"/>
  <c r="F56" i="1"/>
  <c r="G56" i="1"/>
  <c r="H56" i="1"/>
  <c r="I56" i="1"/>
  <c r="J56" i="1"/>
  <c r="K56" i="1"/>
  <c r="L56" i="1"/>
  <c r="M56" i="1"/>
  <c r="N56" i="1"/>
  <c r="O56" i="1"/>
  <c r="P56" i="1"/>
  <c r="Q56" i="1"/>
  <c r="D56" i="1"/>
  <c r="K13" i="16" l="1"/>
  <c r="L13" i="16" s="1"/>
  <c r="M13" i="16" s="1"/>
  <c r="N13" i="16" s="1"/>
  <c r="O13" i="16" s="1"/>
  <c r="K37" i="6"/>
  <c r="H10" i="16"/>
  <c r="H37" i="6"/>
  <c r="J12" i="16"/>
  <c r="K12" i="16" s="1"/>
  <c r="L12" i="16" s="1"/>
  <c r="M12" i="16" s="1"/>
  <c r="N12" i="16" s="1"/>
  <c r="O12" i="16" s="1"/>
  <c r="J37" i="6"/>
  <c r="L14" i="16"/>
  <c r="M14" i="16" s="1"/>
  <c r="N14" i="16" s="1"/>
  <c r="O14" i="16" s="1"/>
  <c r="L37" i="6"/>
  <c r="O4" i="16"/>
  <c r="O37" i="6" s="1"/>
  <c r="C15" i="1"/>
  <c r="N4" i="16"/>
  <c r="N37" i="6" s="1"/>
  <c r="M4" i="16"/>
  <c r="M37" i="6" s="1"/>
  <c r="I11" i="16"/>
  <c r="J11" i="16" s="1"/>
  <c r="K11" i="16" s="1"/>
  <c r="L11" i="16" s="1"/>
  <c r="M11" i="16" s="1"/>
  <c r="N11" i="16" s="1"/>
  <c r="O11" i="16" s="1"/>
  <c r="H111" i="1"/>
  <c r="F72" i="1"/>
  <c r="K72" i="1"/>
  <c r="K20" i="16" s="1"/>
  <c r="O44" i="1"/>
  <c r="D8" i="1"/>
  <c r="E8" i="1"/>
  <c r="F8" i="1"/>
  <c r="G8" i="1"/>
  <c r="H8" i="1"/>
  <c r="E15" i="1"/>
  <c r="G15" i="1"/>
  <c r="I10" i="16" l="1"/>
  <c r="I26" i="16" s="1"/>
  <c r="I5" i="6" s="1"/>
  <c r="H26" i="16"/>
  <c r="H5" i="6" s="1"/>
  <c r="H29" i="11" s="1"/>
  <c r="F20" i="16"/>
  <c r="F15" i="1"/>
  <c r="L72" i="1"/>
  <c r="L20" i="16" s="1"/>
  <c r="I8" i="1"/>
  <c r="D15" i="1"/>
  <c r="J8" i="10"/>
  <c r="I6" i="1"/>
  <c r="J7" i="10"/>
  <c r="J6" i="10"/>
  <c r="J10" i="16" l="1"/>
  <c r="J26" i="16" s="1"/>
  <c r="J5" i="6" s="1"/>
  <c r="H15" i="1"/>
  <c r="I29" i="11"/>
  <c r="M72" i="1"/>
  <c r="M20" i="16" s="1"/>
  <c r="J9" i="10"/>
  <c r="AD8" i="10"/>
  <c r="AD7" i="10"/>
  <c r="AD6" i="10"/>
  <c r="AD9" i="10" s="1"/>
  <c r="L43" i="1"/>
  <c r="N44" i="1"/>
  <c r="O103" i="1" s="1"/>
  <c r="M45" i="1"/>
  <c r="I45" i="1"/>
  <c r="D85" i="1"/>
  <c r="D18" i="1"/>
  <c r="C18" i="1"/>
  <c r="C41" i="1" s="1"/>
  <c r="E85" i="1"/>
  <c r="F85" i="1"/>
  <c r="G85" i="1"/>
  <c r="H85" i="1"/>
  <c r="I85" i="1"/>
  <c r="J85" i="1"/>
  <c r="K85" i="1"/>
  <c r="L85" i="1"/>
  <c r="M85" i="1"/>
  <c r="N85" i="1"/>
  <c r="O85" i="1"/>
  <c r="Q28" i="4"/>
  <c r="M69" i="1"/>
  <c r="N69" i="1" s="1"/>
  <c r="O69" i="1" s="1"/>
  <c r="P69" i="1" s="1"/>
  <c r="H13" i="1"/>
  <c r="L28" i="4"/>
  <c r="C28" i="4"/>
  <c r="L27" i="3"/>
  <c r="C27" i="3"/>
  <c r="O29" i="1"/>
  <c r="K28" i="4"/>
  <c r="D69" i="1"/>
  <c r="E69" i="1" s="1"/>
  <c r="F69" i="1" s="1"/>
  <c r="G69" i="1" s="1"/>
  <c r="H69" i="1" s="1"/>
  <c r="I69" i="1" s="1"/>
  <c r="J69" i="1" s="1"/>
  <c r="K69" i="1" s="1"/>
  <c r="K27" i="3" s="1"/>
  <c r="K10" i="16" l="1"/>
  <c r="L10" i="16" s="1"/>
  <c r="K26" i="16"/>
  <c r="K5" i="6" s="1"/>
  <c r="J29" i="11"/>
  <c r="O9" i="10"/>
  <c r="N72" i="1"/>
  <c r="N20" i="16" s="1"/>
  <c r="E18" i="1"/>
  <c r="C27" i="1" s="1"/>
  <c r="D27" i="1" s="1"/>
  <c r="E27" i="1" s="1"/>
  <c r="M43" i="1"/>
  <c r="H44" i="1"/>
  <c r="I44" i="1"/>
  <c r="I111" i="1"/>
  <c r="J111" i="1" s="1"/>
  <c r="K111" i="1" s="1"/>
  <c r="L111" i="1" s="1"/>
  <c r="M111" i="1" s="1"/>
  <c r="N111" i="1" s="1"/>
  <c r="O111" i="1" s="1"/>
  <c r="N43" i="1"/>
  <c r="N95" i="1" s="1"/>
  <c r="G43" i="1"/>
  <c r="K43" i="1"/>
  <c r="F43" i="1"/>
  <c r="F87" i="1" s="1"/>
  <c r="G87" i="1" s="1"/>
  <c r="H87" i="1" s="1"/>
  <c r="I87" i="1" s="1"/>
  <c r="J87" i="1" s="1"/>
  <c r="K87" i="1" s="1"/>
  <c r="L87" i="1" s="1"/>
  <c r="M87" i="1" s="1"/>
  <c r="N87" i="1" s="1"/>
  <c r="O87" i="1" s="1"/>
  <c r="Q69" i="1"/>
  <c r="Q27" i="3" s="1"/>
  <c r="M44" i="1"/>
  <c r="L45" i="1"/>
  <c r="J43" i="1"/>
  <c r="L44" i="1"/>
  <c r="K45" i="1"/>
  <c r="I43" i="1"/>
  <c r="K44" i="1"/>
  <c r="J45" i="1"/>
  <c r="H43" i="1"/>
  <c r="J44" i="1"/>
  <c r="N45" i="1"/>
  <c r="O110" i="1" s="1"/>
  <c r="F19" i="1"/>
  <c r="E19" i="1"/>
  <c r="C28" i="1" s="1"/>
  <c r="D28" i="1" s="1"/>
  <c r="E28" i="1" s="1"/>
  <c r="F28" i="1" s="1"/>
  <c r="G28" i="1" s="1"/>
  <c r="H28" i="1" s="1"/>
  <c r="I28" i="1" s="1"/>
  <c r="J28" i="1" s="1"/>
  <c r="K28" i="1" s="1"/>
  <c r="L28" i="1" s="1"/>
  <c r="M28" i="1" s="1"/>
  <c r="N28" i="1" s="1"/>
  <c r="F18" i="1"/>
  <c r="H14" i="1"/>
  <c r="P28" i="4"/>
  <c r="O28" i="4"/>
  <c r="N28" i="4"/>
  <c r="P27" i="3"/>
  <c r="M28" i="4"/>
  <c r="O27" i="3"/>
  <c r="N27" i="3"/>
  <c r="M27" i="3"/>
  <c r="I7" i="1"/>
  <c r="I104" i="1"/>
  <c r="J104" i="1" s="1"/>
  <c r="K104" i="1" s="1"/>
  <c r="L104" i="1" s="1"/>
  <c r="M104" i="1" s="1"/>
  <c r="N104" i="1" s="1"/>
  <c r="O104" i="1" s="1"/>
  <c r="J28" i="4"/>
  <c r="I28" i="4"/>
  <c r="H28" i="4"/>
  <c r="F28" i="4"/>
  <c r="E28" i="4"/>
  <c r="G28" i="4"/>
  <c r="D28" i="4"/>
  <c r="H27" i="3"/>
  <c r="D27" i="3"/>
  <c r="J27" i="3"/>
  <c r="I27" i="3"/>
  <c r="G27" i="3"/>
  <c r="F27" i="3"/>
  <c r="E27" i="3"/>
  <c r="I112" i="1"/>
  <c r="J112" i="1" s="1"/>
  <c r="K112" i="1" s="1"/>
  <c r="L112" i="1" s="1"/>
  <c r="M112" i="1" s="1"/>
  <c r="N112" i="1" s="1"/>
  <c r="O112" i="1" s="1"/>
  <c r="L26" i="16" l="1"/>
  <c r="L5" i="6" s="1"/>
  <c r="M10" i="16"/>
  <c r="K29" i="11"/>
  <c r="C84" i="1"/>
  <c r="C118" i="1" s="1"/>
  <c r="C46" i="1"/>
  <c r="C51" i="1" s="1"/>
  <c r="O72" i="1"/>
  <c r="O20" i="16" s="1"/>
  <c r="D41" i="1"/>
  <c r="D46" i="1" s="1"/>
  <c r="D51" i="1" s="1"/>
  <c r="H96" i="1"/>
  <c r="I96" i="1" s="1"/>
  <c r="J96" i="1" s="1"/>
  <c r="K96" i="1" s="1"/>
  <c r="L96" i="1" s="1"/>
  <c r="M96" i="1" s="1"/>
  <c r="N96" i="1" s="1"/>
  <c r="O96" i="1" s="1"/>
  <c r="C29" i="1"/>
  <c r="J105" i="1"/>
  <c r="K105" i="1" s="1"/>
  <c r="L105" i="1" s="1"/>
  <c r="M105" i="1" s="1"/>
  <c r="N105" i="1" s="1"/>
  <c r="O105" i="1" s="1"/>
  <c r="I97" i="1"/>
  <c r="J97" i="1" s="1"/>
  <c r="K97" i="1" s="1"/>
  <c r="L97" i="1" s="1"/>
  <c r="M97" i="1" s="1"/>
  <c r="N97" i="1" s="1"/>
  <c r="O97" i="1" s="1"/>
  <c r="K106" i="1"/>
  <c r="L106" i="1" s="1"/>
  <c r="M106" i="1" s="1"/>
  <c r="N106" i="1" s="1"/>
  <c r="O106" i="1" s="1"/>
  <c r="G88" i="1"/>
  <c r="H88" i="1" s="1"/>
  <c r="I88" i="1" s="1"/>
  <c r="J88" i="1" s="1"/>
  <c r="K88" i="1" s="1"/>
  <c r="L88" i="1" s="1"/>
  <c r="M88" i="1" s="1"/>
  <c r="N88" i="1" s="1"/>
  <c r="O88" i="1" s="1"/>
  <c r="J113" i="1"/>
  <c r="K113" i="1" s="1"/>
  <c r="L113" i="1" s="1"/>
  <c r="M113" i="1" s="1"/>
  <c r="N113" i="1" s="1"/>
  <c r="O113" i="1" s="1"/>
  <c r="J98" i="1"/>
  <c r="K98" i="1" s="1"/>
  <c r="L98" i="1" s="1"/>
  <c r="M98" i="1" s="1"/>
  <c r="N98" i="1" s="1"/>
  <c r="O98" i="1" s="1"/>
  <c r="N10" i="16" l="1"/>
  <c r="M26" i="16"/>
  <c r="M5" i="6" s="1"/>
  <c r="L29" i="11"/>
  <c r="D84" i="1"/>
  <c r="E84" i="1" s="1"/>
  <c r="F84" i="1" s="1"/>
  <c r="G84" i="1" s="1"/>
  <c r="H84" i="1" s="1"/>
  <c r="I84" i="1" s="1"/>
  <c r="J84" i="1" s="1"/>
  <c r="K84" i="1" s="1"/>
  <c r="L84" i="1" s="1"/>
  <c r="M84" i="1" s="1"/>
  <c r="N84" i="1" s="1"/>
  <c r="O84" i="1" s="1"/>
  <c r="E41" i="1"/>
  <c r="E46" i="1" s="1"/>
  <c r="E51" i="1" s="1"/>
  <c r="P72" i="1"/>
  <c r="D29" i="1"/>
  <c r="L107" i="1"/>
  <c r="M107" i="1" s="1"/>
  <c r="N107" i="1" s="1"/>
  <c r="O107" i="1" s="1"/>
  <c r="H89" i="1"/>
  <c r="I89" i="1" s="1"/>
  <c r="J89" i="1" s="1"/>
  <c r="K89" i="1" s="1"/>
  <c r="L89" i="1" s="1"/>
  <c r="M89" i="1" s="1"/>
  <c r="N89" i="1" s="1"/>
  <c r="O89" i="1" s="1"/>
  <c r="K114" i="1"/>
  <c r="L114" i="1" s="1"/>
  <c r="M114" i="1" s="1"/>
  <c r="N114" i="1" s="1"/>
  <c r="O114" i="1" s="1"/>
  <c r="K99" i="1"/>
  <c r="L99" i="1" s="1"/>
  <c r="M99" i="1" s="1"/>
  <c r="N99" i="1" s="1"/>
  <c r="O99" i="1" s="1"/>
  <c r="M29" i="11" l="1"/>
  <c r="D118" i="1"/>
  <c r="O10" i="16"/>
  <c r="O26" i="16" s="1"/>
  <c r="O5" i="6" s="1"/>
  <c r="N26" i="16"/>
  <c r="N5" i="6" s="1"/>
  <c r="Q72" i="1"/>
  <c r="F41" i="1"/>
  <c r="F46" i="1" s="1"/>
  <c r="F51" i="1" s="1"/>
  <c r="E118" i="1"/>
  <c r="F118" i="1"/>
  <c r="G118" i="1"/>
  <c r="F27" i="1"/>
  <c r="E29" i="1"/>
  <c r="H118" i="1"/>
  <c r="I90" i="1"/>
  <c r="J90" i="1" s="1"/>
  <c r="K90" i="1" s="1"/>
  <c r="L90" i="1" s="1"/>
  <c r="M90" i="1" s="1"/>
  <c r="N90" i="1" s="1"/>
  <c r="O90" i="1" s="1"/>
  <c r="L115" i="1"/>
  <c r="M115" i="1" s="1"/>
  <c r="N115" i="1" s="1"/>
  <c r="O115" i="1" s="1"/>
  <c r="M108" i="1"/>
  <c r="N108" i="1" s="1"/>
  <c r="O108" i="1" s="1"/>
  <c r="L100" i="1"/>
  <c r="M100" i="1" s="1"/>
  <c r="N100" i="1" s="1"/>
  <c r="O100" i="1" s="1"/>
  <c r="O29" i="11" l="1"/>
  <c r="N29" i="11"/>
  <c r="G41" i="1"/>
  <c r="G46" i="1" s="1"/>
  <c r="G51" i="1" s="1"/>
  <c r="G27" i="1"/>
  <c r="F29" i="1"/>
  <c r="I118" i="1"/>
  <c r="J91" i="1"/>
  <c r="K91" i="1" s="1"/>
  <c r="L91" i="1" s="1"/>
  <c r="M91" i="1" s="1"/>
  <c r="N91" i="1" s="1"/>
  <c r="O91" i="1" s="1"/>
  <c r="M101" i="1"/>
  <c r="N101" i="1" s="1"/>
  <c r="O101" i="1" s="1"/>
  <c r="H41" i="1" l="1"/>
  <c r="H46" i="1" s="1"/>
  <c r="H51" i="1" s="1"/>
  <c r="I41" i="1"/>
  <c r="I46" i="1" s="1"/>
  <c r="I51" i="1" s="1"/>
  <c r="H27" i="1"/>
  <c r="G29" i="1"/>
  <c r="J118" i="1"/>
  <c r="K92" i="1"/>
  <c r="L92" i="1" s="1"/>
  <c r="M92" i="1" s="1"/>
  <c r="N92" i="1" s="1"/>
  <c r="O92" i="1" s="1"/>
  <c r="N109" i="1"/>
  <c r="O109" i="1" s="1"/>
  <c r="J41" i="1" l="1"/>
  <c r="J46" i="1" s="1"/>
  <c r="J51" i="1" s="1"/>
  <c r="I27" i="1"/>
  <c r="H29" i="1"/>
  <c r="K118" i="1"/>
  <c r="N102" i="1"/>
  <c r="O102" i="1" s="1"/>
  <c r="L93" i="1"/>
  <c r="M93" i="1" s="1"/>
  <c r="N93" i="1" s="1"/>
  <c r="O93" i="1" s="1"/>
  <c r="K41" i="1" l="1"/>
  <c r="K46" i="1" s="1"/>
  <c r="K51" i="1" s="1"/>
  <c r="J27" i="1"/>
  <c r="I29" i="1"/>
  <c r="L118" i="1"/>
  <c r="L41" i="1" l="1"/>
  <c r="L46" i="1" s="1"/>
  <c r="L51" i="1" s="1"/>
  <c r="K27" i="1"/>
  <c r="J29" i="1"/>
  <c r="O95" i="1"/>
  <c r="M94" i="1"/>
  <c r="N94" i="1" s="1"/>
  <c r="O94" i="1" s="1"/>
  <c r="O118" i="1" s="1"/>
  <c r="M41" i="1" l="1"/>
  <c r="M46" i="1" s="1"/>
  <c r="M51" i="1" s="1"/>
  <c r="L27" i="1"/>
  <c r="K29" i="1"/>
  <c r="M118" i="1"/>
  <c r="N41" i="1" l="1"/>
  <c r="N46" i="1" s="1"/>
  <c r="N51" i="1" s="1"/>
  <c r="N118" i="1"/>
  <c r="M27" i="1"/>
  <c r="L29" i="1"/>
  <c r="O41" i="1" l="1"/>
  <c r="O46" i="1" s="1"/>
  <c r="O51" i="1" s="1"/>
  <c r="N27" i="1"/>
  <c r="M29" i="1"/>
  <c r="N29" i="1" l="1"/>
  <c r="C117" i="1" l="1"/>
  <c r="C4" i="4" s="1"/>
  <c r="C39" i="6" s="1"/>
  <c r="C4" i="3" l="1"/>
  <c r="C38" i="6" s="1"/>
  <c r="C43" i="6" s="1"/>
  <c r="C10" i="4"/>
  <c r="C33" i="4" s="1"/>
  <c r="C10" i="3" l="1"/>
  <c r="C33" i="3" s="1"/>
  <c r="C42" i="6"/>
  <c r="C41" i="6"/>
  <c r="D10" i="4"/>
  <c r="J10" i="3"/>
  <c r="I10" i="3"/>
  <c r="F10" i="3"/>
  <c r="H10" i="3"/>
  <c r="G10" i="3"/>
  <c r="N10" i="3"/>
  <c r="E10" i="3"/>
  <c r="L10" i="3"/>
  <c r="M10" i="3"/>
  <c r="K10" i="3"/>
  <c r="O10" i="3"/>
  <c r="C7" i="6"/>
  <c r="C31" i="11" s="1"/>
  <c r="E10" i="4" l="1"/>
  <c r="D10" i="3"/>
  <c r="C6" i="6"/>
  <c r="C30" i="11" s="1"/>
  <c r="F10" i="4"/>
  <c r="G10" i="4" l="1"/>
  <c r="H10" i="4" l="1"/>
  <c r="I10" i="4" l="1"/>
  <c r="J10" i="4" l="1"/>
  <c r="K10" i="4" l="1"/>
  <c r="L10" i="4" l="1"/>
  <c r="M10" i="4" l="1"/>
  <c r="N10" i="4" l="1"/>
  <c r="O10" i="4" l="1"/>
  <c r="N117" i="1"/>
  <c r="N4" i="3" s="1"/>
  <c r="N38" i="6" s="1"/>
  <c r="O117" i="1"/>
  <c r="O4" i="3" s="1"/>
  <c r="O38" i="6" s="1"/>
  <c r="O22" i="3" l="1"/>
  <c r="N4" i="4"/>
  <c r="O4" i="4"/>
  <c r="O39" i="6" s="1"/>
  <c r="O42" i="6" s="1"/>
  <c r="N39" i="6" l="1"/>
  <c r="O41" i="6"/>
  <c r="O43" i="6" s="1"/>
  <c r="O22" i="4"/>
  <c r="M117" i="1"/>
  <c r="M4" i="3" s="1"/>
  <c r="M38" i="6" s="1"/>
  <c r="N42" i="6" l="1"/>
  <c r="N41" i="6"/>
  <c r="N43" i="6" s="1"/>
  <c r="M4" i="4"/>
  <c r="M39" i="6" s="1"/>
  <c r="M41" i="6" s="1"/>
  <c r="M43" i="6" s="1"/>
  <c r="N21" i="3"/>
  <c r="O21" i="3" s="1"/>
  <c r="L117" i="1"/>
  <c r="L4" i="3" s="1"/>
  <c r="L38" i="6" s="1"/>
  <c r="K117" i="1"/>
  <c r="K4" i="4" s="1"/>
  <c r="K39" i="6" s="1"/>
  <c r="L4" i="4" l="1"/>
  <c r="L39" i="6" s="1"/>
  <c r="L41" i="6" s="1"/>
  <c r="N21" i="4"/>
  <c r="O21" i="4" s="1"/>
  <c r="M42" i="6"/>
  <c r="M20" i="3"/>
  <c r="N20" i="3" s="1"/>
  <c r="O20" i="3" s="1"/>
  <c r="K4" i="3"/>
  <c r="K38" i="6" s="1"/>
  <c r="J117" i="1"/>
  <c r="J4" i="3" s="1"/>
  <c r="J38" i="6" s="1"/>
  <c r="L19" i="4" l="1"/>
  <c r="M19" i="4" s="1"/>
  <c r="N19" i="4" s="1"/>
  <c r="O19" i="4" s="1"/>
  <c r="M20" i="4"/>
  <c r="N20" i="4" s="1"/>
  <c r="O20" i="4" s="1"/>
  <c r="L42" i="6"/>
  <c r="K41" i="6"/>
  <c r="K42" i="6"/>
  <c r="L43" i="6"/>
  <c r="L19" i="3"/>
  <c r="M19" i="3" s="1"/>
  <c r="N19" i="3" s="1"/>
  <c r="O19" i="3" s="1"/>
  <c r="J4" i="4"/>
  <c r="J39" i="6" s="1"/>
  <c r="J41" i="6" s="1"/>
  <c r="K18" i="3"/>
  <c r="L18" i="3" s="1"/>
  <c r="M18" i="3" s="1"/>
  <c r="N18" i="3" s="1"/>
  <c r="O18" i="3" s="1"/>
  <c r="I117" i="1"/>
  <c r="I4" i="3" s="1"/>
  <c r="I38" i="6" s="1"/>
  <c r="J42" i="6" l="1"/>
  <c r="K43" i="6"/>
  <c r="I4" i="4"/>
  <c r="K18" i="4"/>
  <c r="L18" i="4" s="1"/>
  <c r="M18" i="4" s="1"/>
  <c r="N18" i="4" s="1"/>
  <c r="O18" i="4" s="1"/>
  <c r="J43" i="6"/>
  <c r="J17" i="3"/>
  <c r="K17" i="3" s="1"/>
  <c r="L17" i="3" s="1"/>
  <c r="M17" i="3" s="1"/>
  <c r="N17" i="3" s="1"/>
  <c r="O17" i="3" s="1"/>
  <c r="H117" i="1"/>
  <c r="H4" i="3" s="1"/>
  <c r="H38" i="6" s="1"/>
  <c r="J17" i="4" l="1"/>
  <c r="K17" i="4" s="1"/>
  <c r="L17" i="4" s="1"/>
  <c r="M17" i="4" s="1"/>
  <c r="N17" i="4" s="1"/>
  <c r="O17" i="4" s="1"/>
  <c r="I39" i="6"/>
  <c r="H4" i="4"/>
  <c r="I16" i="3"/>
  <c r="J16" i="3" s="1"/>
  <c r="K16" i="3" s="1"/>
  <c r="L16" i="3" s="1"/>
  <c r="M16" i="3" s="1"/>
  <c r="N16" i="3" s="1"/>
  <c r="O16" i="3" s="1"/>
  <c r="G117" i="1"/>
  <c r="G4" i="3" s="1"/>
  <c r="G38" i="6" s="1"/>
  <c r="E117" i="1"/>
  <c r="E4" i="3" s="1"/>
  <c r="E38" i="6" s="1"/>
  <c r="D117" i="1"/>
  <c r="D4" i="3" s="1"/>
  <c r="D38" i="6" s="1"/>
  <c r="F117" i="1"/>
  <c r="F4" i="3" s="1"/>
  <c r="F38" i="6" s="1"/>
  <c r="D4" i="4" l="1"/>
  <c r="D39" i="6" s="1"/>
  <c r="D41" i="6" s="1"/>
  <c r="I16" i="4"/>
  <c r="J16" i="4" s="1"/>
  <c r="K16" i="4" s="1"/>
  <c r="L16" i="4" s="1"/>
  <c r="M16" i="4" s="1"/>
  <c r="N16" i="4" s="1"/>
  <c r="O16" i="4" s="1"/>
  <c r="H39" i="6"/>
  <c r="I41" i="6"/>
  <c r="I43" i="6" s="1"/>
  <c r="I42" i="6"/>
  <c r="G4" i="4"/>
  <c r="G39" i="6" s="1"/>
  <c r="G41" i="6" s="1"/>
  <c r="G43" i="6" s="1"/>
  <c r="E4" i="4"/>
  <c r="D11" i="3"/>
  <c r="H15" i="3"/>
  <c r="I15" i="3" s="1"/>
  <c r="J15" i="3" s="1"/>
  <c r="K15" i="3" s="1"/>
  <c r="L15" i="3" s="1"/>
  <c r="M15" i="3" s="1"/>
  <c r="N15" i="3" s="1"/>
  <c r="O15" i="3" s="1"/>
  <c r="F4" i="4"/>
  <c r="E12" i="3"/>
  <c r="F13" i="3"/>
  <c r="G14" i="3"/>
  <c r="H14" i="3" s="1"/>
  <c r="I14" i="3" s="1"/>
  <c r="J14" i="3" s="1"/>
  <c r="K14" i="3" s="1"/>
  <c r="L14" i="3" s="1"/>
  <c r="M14" i="3" s="1"/>
  <c r="N14" i="3" s="1"/>
  <c r="O14" i="3" s="1"/>
  <c r="D11" i="4" l="1"/>
  <c r="D33" i="4" s="1"/>
  <c r="K11" i="3"/>
  <c r="D33" i="3"/>
  <c r="D6" i="6" s="1"/>
  <c r="D42" i="6"/>
  <c r="E39" i="6"/>
  <c r="F39" i="6"/>
  <c r="H15" i="4"/>
  <c r="I15" i="4" s="1"/>
  <c r="J15" i="4" s="1"/>
  <c r="K15" i="4" s="1"/>
  <c r="L15" i="4" s="1"/>
  <c r="M15" i="4" s="1"/>
  <c r="N15" i="4" s="1"/>
  <c r="O15" i="4" s="1"/>
  <c r="H41" i="6"/>
  <c r="H43" i="6" s="1"/>
  <c r="H42" i="6"/>
  <c r="G42" i="6"/>
  <c r="E11" i="4"/>
  <c r="H11" i="3"/>
  <c r="N11" i="3"/>
  <c r="M11" i="3"/>
  <c r="D43" i="6"/>
  <c r="O11" i="3"/>
  <c r="J11" i="3"/>
  <c r="E12" i="4"/>
  <c r="F12" i="4" s="1"/>
  <c r="G12" i="4" s="1"/>
  <c r="H12" i="4" s="1"/>
  <c r="I12" i="4" s="1"/>
  <c r="J12" i="4" s="1"/>
  <c r="K12" i="4" s="1"/>
  <c r="L12" i="4" s="1"/>
  <c r="M12" i="4" s="1"/>
  <c r="N12" i="4" s="1"/>
  <c r="O12" i="4" s="1"/>
  <c r="G11" i="3"/>
  <c r="F11" i="3"/>
  <c r="I11" i="3"/>
  <c r="L11" i="3"/>
  <c r="E11" i="3"/>
  <c r="E33" i="3" s="1"/>
  <c r="E6" i="6" s="1"/>
  <c r="D7" i="6"/>
  <c r="D31" i="11" s="1"/>
  <c r="G14" i="4"/>
  <c r="H14" i="4" s="1"/>
  <c r="I14" i="4" s="1"/>
  <c r="J14" i="4" s="1"/>
  <c r="K14" i="4" s="1"/>
  <c r="L14" i="4" s="1"/>
  <c r="M14" i="4" s="1"/>
  <c r="N14" i="4" s="1"/>
  <c r="O14" i="4" s="1"/>
  <c r="F13" i="4"/>
  <c r="G13" i="4" s="1"/>
  <c r="H13" i="4" s="1"/>
  <c r="I13" i="4" s="1"/>
  <c r="J13" i="4" s="1"/>
  <c r="K13" i="4" s="1"/>
  <c r="L13" i="4" s="1"/>
  <c r="M13" i="4" s="1"/>
  <c r="N13" i="4" s="1"/>
  <c r="O13" i="4" s="1"/>
  <c r="I13" i="3"/>
  <c r="G13" i="3"/>
  <c r="M13" i="3"/>
  <c r="K13" i="3"/>
  <c r="J13" i="3"/>
  <c r="N13" i="3"/>
  <c r="L13" i="3"/>
  <c r="H13" i="3"/>
  <c r="O13" i="3"/>
  <c r="O12" i="3"/>
  <c r="K12" i="3"/>
  <c r="L12" i="3"/>
  <c r="M12" i="3"/>
  <c r="I12" i="3"/>
  <c r="G12" i="3"/>
  <c r="N12" i="3"/>
  <c r="H12" i="3"/>
  <c r="F12" i="3"/>
  <c r="J12" i="3"/>
  <c r="F11" i="4" l="1"/>
  <c r="F33" i="4" s="1"/>
  <c r="E33" i="4"/>
  <c r="E41" i="6"/>
  <c r="E43" i="6" s="1"/>
  <c r="E42" i="6"/>
  <c r="F41" i="6"/>
  <c r="F43" i="6" s="1"/>
  <c r="F42" i="6"/>
  <c r="E7" i="6"/>
  <c r="E31" i="11" s="1"/>
  <c r="D30" i="11"/>
  <c r="E30" i="11"/>
  <c r="H33" i="3"/>
  <c r="H6" i="6" s="1"/>
  <c r="F33" i="3"/>
  <c r="F6" i="6" s="1"/>
  <c r="O33" i="3"/>
  <c r="O6" i="6" s="1"/>
  <c r="I33" i="3"/>
  <c r="I6" i="6" s="1"/>
  <c r="J33" i="3"/>
  <c r="J6" i="6" s="1"/>
  <c r="K33" i="3"/>
  <c r="K6" i="6" s="1"/>
  <c r="N33" i="3"/>
  <c r="N6" i="6" s="1"/>
  <c r="L33" i="3"/>
  <c r="L6" i="6" s="1"/>
  <c r="G33" i="3"/>
  <c r="G6" i="6" s="1"/>
  <c r="M33" i="3"/>
  <c r="M6" i="6" s="1"/>
  <c r="G11" i="4"/>
  <c r="G33" i="4" s="1"/>
  <c r="N30" i="11" l="1"/>
  <c r="K30" i="11"/>
  <c r="I30" i="11"/>
  <c r="O30" i="11"/>
  <c r="F30" i="11"/>
  <c r="H30" i="11"/>
  <c r="J30" i="11"/>
  <c r="M30" i="11"/>
  <c r="G30" i="11"/>
  <c r="L30" i="11"/>
  <c r="F7" i="6"/>
  <c r="F31" i="11" s="1"/>
  <c r="H11" i="4"/>
  <c r="H33" i="4" s="1"/>
  <c r="G7" i="6" l="1"/>
  <c r="I11" i="4"/>
  <c r="I33" i="4" s="1"/>
  <c r="G31" i="11" l="1"/>
  <c r="H7" i="6"/>
  <c r="J11" i="4"/>
  <c r="J33" i="4" s="1"/>
  <c r="H31" i="11" l="1"/>
  <c r="I7" i="6"/>
  <c r="K11" i="4"/>
  <c r="K33" i="4" s="1"/>
  <c r="I31" i="11" l="1"/>
  <c r="J7" i="6"/>
  <c r="L11" i="4"/>
  <c r="L33" i="4" s="1"/>
  <c r="J31" i="11" l="1"/>
  <c r="K7" i="6"/>
  <c r="M11" i="4"/>
  <c r="M33" i="4" s="1"/>
  <c r="K31" i="11" l="1"/>
  <c r="L7" i="6"/>
  <c r="N11" i="4"/>
  <c r="N33" i="4" s="1"/>
  <c r="L31" i="11" l="1"/>
  <c r="M7" i="6"/>
  <c r="O11" i="4"/>
  <c r="O33" i="4" s="1"/>
  <c r="M31" i="11" l="1"/>
  <c r="O7" i="6"/>
  <c r="N7" i="6"/>
  <c r="O31" i="11" l="1"/>
  <c r="N31" i="11"/>
  <c r="D71" i="1"/>
  <c r="D39" i="17" l="1"/>
  <c r="E71" i="1"/>
  <c r="E44" i="17" l="1"/>
  <c r="E8" i="6" s="1"/>
  <c r="F71" i="1"/>
  <c r="E39" i="17"/>
  <c r="F44" i="17" s="1"/>
  <c r="F8" i="6" s="1"/>
  <c r="E9" i="6" l="1"/>
  <c r="E32" i="11"/>
  <c r="E10" i="6"/>
  <c r="E34" i="11" s="1"/>
  <c r="F32" i="11"/>
  <c r="F9" i="6"/>
  <c r="F10" i="6"/>
  <c r="F34" i="11" s="1"/>
  <c r="G71" i="1"/>
  <c r="F39" i="17"/>
  <c r="G44" i="17" s="1"/>
  <c r="G8" i="6" s="1"/>
  <c r="D4" i="13" a="1"/>
  <c r="E4" i="13" a="1"/>
  <c r="E4" i="13" l="1"/>
  <c r="D4" i="13"/>
  <c r="E12" i="6"/>
  <c r="E33" i="11"/>
  <c r="G32" i="11"/>
  <c r="G9" i="6"/>
  <c r="G10" i="6"/>
  <c r="G34" i="11" s="1"/>
  <c r="H71" i="1"/>
  <c r="G39" i="17"/>
  <c r="H44" i="17" s="1"/>
  <c r="H8" i="6" s="1"/>
  <c r="F12" i="6"/>
  <c r="F33" i="11"/>
  <c r="F4" i="13" a="1"/>
  <c r="F4" i="13" l="1"/>
  <c r="I71" i="1"/>
  <c r="H39" i="17"/>
  <c r="I44" i="17" s="1"/>
  <c r="I8" i="6" s="1"/>
  <c r="G12" i="6"/>
  <c r="G33" i="11"/>
  <c r="H32" i="11"/>
  <c r="H10" i="6"/>
  <c r="H34" i="11" s="1"/>
  <c r="H9" i="6"/>
  <c r="G4" i="13" a="1"/>
  <c r="G4" i="13" l="1"/>
  <c r="H12" i="6"/>
  <c r="H33" i="11"/>
  <c r="I32" i="11"/>
  <c r="I9" i="6"/>
  <c r="I10" i="6"/>
  <c r="I34" i="11" s="1"/>
  <c r="J71" i="1"/>
  <c r="I39" i="17"/>
  <c r="J44" i="17" s="1"/>
  <c r="J8" i="6" s="1"/>
  <c r="H4" i="13" a="1"/>
  <c r="H4" i="13" l="1"/>
  <c r="J32" i="11"/>
  <c r="J10" i="6"/>
  <c r="J34" i="11" s="1"/>
  <c r="G179" i="11" s="1"/>
  <c r="J9" i="6"/>
  <c r="I33" i="11"/>
  <c r="I12" i="6"/>
  <c r="K71" i="1"/>
  <c r="J39" i="17"/>
  <c r="K44" i="17" s="1"/>
  <c r="K8" i="6" s="1"/>
  <c r="C9" i="10"/>
  <c r="E109" i="11" l="1"/>
  <c r="E167" i="11" s="1"/>
  <c r="D69" i="19" s="1"/>
  <c r="D60" i="19"/>
  <c r="E110" i="11"/>
  <c r="E72" i="6"/>
  <c r="E75" i="6" s="1"/>
  <c r="L71" i="1"/>
  <c r="K39" i="17"/>
  <c r="L44" i="17" s="1"/>
  <c r="L8" i="6" s="1"/>
  <c r="K32" i="11"/>
  <c r="K10" i="6"/>
  <c r="K34" i="11" s="1"/>
  <c r="K9" i="6"/>
  <c r="J33" i="11"/>
  <c r="J12" i="6"/>
  <c r="E71" i="6"/>
  <c r="E74" i="6" s="1"/>
  <c r="J4" i="13" a="1"/>
  <c r="J4" i="13" l="1"/>
  <c r="E146" i="11"/>
  <c r="E168" i="11"/>
  <c r="D70" i="19" s="1"/>
  <c r="E147" i="11"/>
  <c r="K33" i="11"/>
  <c r="K12" i="6"/>
  <c r="L32" i="11"/>
  <c r="L9" i="6"/>
  <c r="L10" i="6"/>
  <c r="L34" i="11" s="1"/>
  <c r="M71" i="1"/>
  <c r="L39" i="17"/>
  <c r="K4" i="13" a="1"/>
  <c r="K4" i="13" l="1"/>
  <c r="M44" i="17"/>
  <c r="M8" i="6" s="1"/>
  <c r="M32" i="11" s="1"/>
  <c r="C44" i="17"/>
  <c r="L12" i="6"/>
  <c r="L33" i="11"/>
  <c r="N71" i="1"/>
  <c r="M39" i="17"/>
  <c r="N44" i="17" s="1"/>
  <c r="N8" i="6" s="1"/>
  <c r="M9" i="6" l="1"/>
  <c r="M10" i="6"/>
  <c r="M34" i="11" s="1"/>
  <c r="N32" i="11"/>
  <c r="N10" i="6"/>
  <c r="N34" i="11" s="1"/>
  <c r="N9" i="6"/>
  <c r="O71" i="1"/>
  <c r="N39" i="17"/>
  <c r="L4" i="13" a="1"/>
  <c r="M4" i="13" a="1"/>
  <c r="M4" i="13" l="1"/>
  <c r="L4" i="13"/>
  <c r="M33" i="11"/>
  <c r="M12" i="6"/>
  <c r="C8" i="6"/>
  <c r="O44" i="17"/>
  <c r="O8" i="6" s="1"/>
  <c r="N12" i="6"/>
  <c r="N33" i="11"/>
  <c r="O39" i="17"/>
  <c r="P71" i="1"/>
  <c r="P39" i="17" l="1"/>
  <c r="D44" i="17" s="1"/>
  <c r="D8" i="6" s="1"/>
  <c r="O32" i="11"/>
  <c r="O10" i="6"/>
  <c r="O9" i="6"/>
  <c r="E60" i="19" s="1"/>
  <c r="C32" i="11"/>
  <c r="C10" i="6"/>
  <c r="C9" i="6"/>
  <c r="C60" i="19" s="1"/>
  <c r="D32" i="11" l="1"/>
  <c r="D10" i="6"/>
  <c r="D34" i="11" s="1"/>
  <c r="D9" i="6"/>
  <c r="C34" i="11"/>
  <c r="C110" i="11"/>
  <c r="E112" i="11" s="1"/>
  <c r="D61" i="19" s="1"/>
  <c r="O12" i="6"/>
  <c r="O33" i="11"/>
  <c r="F71" i="6"/>
  <c r="F74" i="6" s="1"/>
  <c r="F109" i="11"/>
  <c r="P5" i="6"/>
  <c r="O34" i="11"/>
  <c r="F110" i="11"/>
  <c r="F72" i="6"/>
  <c r="F75" i="6" s="1"/>
  <c r="P6" i="6"/>
  <c r="C33" i="11"/>
  <c r="C12" i="6"/>
  <c r="C72" i="6"/>
  <c r="C75" i="6" s="1"/>
  <c r="G75" i="6" s="1"/>
  <c r="C71" i="6"/>
  <c r="C4" i="13" a="1"/>
  <c r="C4" i="13" l="1"/>
  <c r="F112" i="11"/>
  <c r="E61" i="19" s="1"/>
  <c r="D12" i="6"/>
  <c r="D33" i="11"/>
  <c r="E148" i="11"/>
  <c r="E169" i="11"/>
  <c r="D72" i="19" s="1"/>
  <c r="E111" i="11"/>
  <c r="E151" i="11" s="1"/>
  <c r="F146" i="11"/>
  <c r="F167" i="11"/>
  <c r="E69" i="19" s="1"/>
  <c r="F168" i="11"/>
  <c r="E70" i="19" s="1"/>
  <c r="F147" i="11"/>
  <c r="C147" i="11"/>
  <c r="C168" i="11"/>
  <c r="H75" i="6"/>
  <c r="C74" i="6"/>
  <c r="G74" i="6" s="1"/>
  <c r="C76" i="6"/>
  <c r="C9" i="11"/>
  <c r="C109" i="11"/>
  <c r="B4" i="13" a="1"/>
  <c r="F111" i="11" l="1"/>
  <c r="F148" i="11"/>
  <c r="F169" i="11"/>
  <c r="E72" i="19" s="1"/>
  <c r="B4" i="13"/>
  <c r="C62" i="19"/>
  <c r="C171" i="11"/>
  <c r="C70" i="19"/>
  <c r="F150" i="11"/>
  <c r="F171" i="11"/>
  <c r="F170" i="11"/>
  <c r="F149" i="11"/>
  <c r="E170" i="11"/>
  <c r="E171" i="11"/>
  <c r="E152" i="11"/>
  <c r="E155" i="11"/>
  <c r="E154" i="11"/>
  <c r="E153" i="11"/>
  <c r="K148" i="11"/>
  <c r="E149" i="11"/>
  <c r="E150" i="11"/>
  <c r="C150" i="11"/>
  <c r="E161" i="11"/>
  <c r="D71" i="19" s="1"/>
  <c r="C167" i="11"/>
  <c r="C146" i="11"/>
  <c r="C149" i="11" s="1"/>
  <c r="C161" i="11" s="1"/>
  <c r="B179" i="11"/>
  <c r="B181" i="11" s="1"/>
  <c r="C111" i="11"/>
  <c r="H74" i="6"/>
  <c r="K150" i="11" l="1"/>
  <c r="C170" i="11"/>
  <c r="C69" i="19"/>
  <c r="I161" i="11"/>
  <c r="F161" i="11" s="1"/>
  <c r="E71" i="19" s="1"/>
  <c r="C71" i="19"/>
  <c r="C151" i="11"/>
  <c r="C172" i="11"/>
  <c r="C179" i="11"/>
  <c r="C181" i="11" s="1"/>
  <c r="E181" i="11" s="1"/>
  <c r="C195" i="11" s="1"/>
  <c r="D179" i="11"/>
  <c r="K146" i="11"/>
  <c r="H179" i="11" l="1"/>
  <c r="J9" i="11" s="1"/>
  <c r="C193" i="11"/>
  <c r="C194" i="11"/>
  <c r="C199" i="11"/>
  <c r="C200" i="11"/>
  <c r="C201" i="11"/>
  <c r="C189" i="11"/>
  <c r="C202" i="11"/>
  <c r="C190" i="11"/>
  <c r="C191" i="11"/>
  <c r="C196" i="11"/>
  <c r="C197" i="11"/>
  <c r="C198" i="11"/>
  <c r="C203" i="11"/>
  <c r="C188" i="11"/>
  <c r="C192" i="11"/>
  <c r="K180" i="11"/>
  <c r="D181" i="11"/>
  <c r="K161" i="11"/>
  <c r="K151" i="11"/>
  <c r="K149" i="11"/>
  <c r="C162" i="11"/>
  <c r="I179" i="11"/>
  <c r="I4" i="13" a="1"/>
  <c r="I4" i="13" l="1"/>
  <c r="O9" i="11"/>
  <c r="D62" i="19"/>
  <c r="N4" i="13" a="1"/>
  <c r="N4" i="13" l="1"/>
  <c r="E62" i="1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tc={FEB1D9A6-55F2-D143-8AAC-B83EB86E3D29}</author>
  </authors>
  <commentList>
    <comment ref="B26" authorId="0" shapeId="0" xr:uid="{FEB1D9A6-55F2-D143-8AAC-B83EB86E3D29}">
      <text>
        <t>[Threaded comment]
Your version of Excel allows you to read this threaded comment; however, any edits to it will get removed if the file is opened in a newer version of Excel. Learn more: https://go.microsoft.com/fwlink/?linkid=870924
Comment:
    occupé ou pas, et si occupé est-ce ça tourne fort (combien de jour dans l'année ça bosse)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tc={50E9E001-8932-CD43-BB6B-2577CB71517D}</author>
  </authors>
  <commentList>
    <comment ref="B19" authorId="0" shapeId="0" xr:uid="{50E9E001-8932-CD43-BB6B-2577CB71517D}">
      <text>
        <t>[Threaded comment]
Your version of Excel allows you to read this threaded comment; however, any edits to it will get removed if the file is opened in a newer version of Excel. Learn more: https://go.microsoft.com/fwlink/?linkid=870924
Comment:
    occupé ou pas, et si occupé est-ce ça tourne fort (combien de jour dans l'année ça bosse)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tc={54607167-41BA-EB43-A1DF-897A16629A76}</author>
    <author>tc={1039EFF4-F24F-CB4D-BB24-2604969B86A3}</author>
  </authors>
  <commentList>
    <comment ref="D67" authorId="0" shapeId="0" xr:uid="{54607167-41BA-EB43-A1DF-897A16629A76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https://eneroutlook.enerdata.net/forecast-world-co2-intensity-of-electricity-generation.html</t>
      </text>
    </comment>
    <comment ref="E67" authorId="1" shapeId="0" xr:uid="{1039EFF4-F24F-CB4D-BB24-2604969B86A3}">
      <text>
        <t>[Threaded comment]
Your version of Excel allows you to read this threaded comment; however, any edits to it will get removed if the file is opened in a newer version of Excel. Learn more: https://go.microsoft.com/fwlink/?linkid=870924
Comment:
    https://eneroutlook.enerdata.net/forecast-world-co2-intensity-of-electricity-generation.html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tc={E5B0866B-A162-2C47-8F6E-859216878EDA}</author>
    <author>tc={8B18163D-3AC7-AF46-8B15-1E39A807210E}</author>
  </authors>
  <commentList>
    <comment ref="J9" authorId="0" shapeId="0" xr:uid="{E5B0866B-A162-2C47-8F6E-859216878ED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Attention, cette consommation traduit uniquement l'objectif national de -30% d'émission </t>
      </text>
    </comment>
    <comment ref="O9" authorId="1" shapeId="0" xr:uid="{8B18163D-3AC7-AF46-8B15-1E39A807210E}">
      <text>
        <t>[Threaded comment]
Your version of Excel allows you to read this threaded comment; however, any edits to it will get removed if the file is opened in a newer version of Excel. Learn more: https://go.microsoft.com/fwlink/?linkid=870924
Comment:
    Attention, cette consommation n'est que le prolongement de la décroissance entre 2020 et 2030 du fait de l'objectif national de -30% d'émission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<sst xmlns="http://schemas.openxmlformats.org/spreadsheetml/2006/main" count="344" uniqueCount="190">
  <si>
    <t>Rappel de certaines données disponibles - ADEME- Arcep</t>
  </si>
  <si>
    <t>ADEME/Arcep 2030</t>
  </si>
  <si>
    <t>Public Local</t>
  </si>
  <si>
    <t>Public National</t>
  </si>
  <si>
    <t>Entreprises</t>
  </si>
  <si>
    <t>Centres de données commerciaux</t>
  </si>
  <si>
    <t>HPC</t>
  </si>
  <si>
    <t>Edge</t>
  </si>
  <si>
    <t>Total</t>
  </si>
  <si>
    <t>PUE</t>
  </si>
  <si>
    <t>taux de charge</t>
  </si>
  <si>
    <t>Conso</t>
  </si>
  <si>
    <t>Puissance totale</t>
  </si>
  <si>
    <t>Puissance IT</t>
  </si>
  <si>
    <t>ADEME/Arcep 2020</t>
  </si>
  <si>
    <t>Puissance</t>
  </si>
  <si>
    <t>Puissance installée (source ADEME/Arcep)</t>
  </si>
  <si>
    <t>2020 (%)</t>
  </si>
  <si>
    <t>2030 (%)</t>
  </si>
  <si>
    <t>Colocation</t>
  </si>
  <si>
    <t>Variables</t>
  </si>
  <si>
    <t>Part de la puissance installée - répartition entre les "HPC" et les "colocation"</t>
  </si>
  <si>
    <t>Part de la puissance installée (%)</t>
  </si>
  <si>
    <t>Puissance totale supplémentaire installée chaque année</t>
  </si>
  <si>
    <t>Puissance totale (pipe RTE) (GW)</t>
  </si>
  <si>
    <t>Capacité installée (en 2020)</t>
  </si>
  <si>
    <t>Capacité installée (entre 2021 et 2024 inclus)</t>
  </si>
  <si>
    <t>0,6 GW raccordés à partir de 2025</t>
  </si>
  <si>
    <t>5 GW signés à partir de 2025</t>
  </si>
  <si>
    <t>5 GW à partir de 2026</t>
  </si>
  <si>
    <t>Total - sans annonces Sommet IA</t>
  </si>
  <si>
    <t>Puissance totale (AI Summit) (GW)</t>
  </si>
  <si>
    <t>3 GW à partir de 2027</t>
  </si>
  <si>
    <t>Total - avec annonces Sommet IA</t>
  </si>
  <si>
    <t xml:space="preserve">Ramp-up </t>
  </si>
  <si>
    <t>Ramp up de la puissance installée</t>
  </si>
  <si>
    <t>Pit/Pmax</t>
  </si>
  <si>
    <t>P/Pmax</t>
  </si>
  <si>
    <t>P/Pmax Annonces sommet de l'IA</t>
  </si>
  <si>
    <t>Facteur de charge</t>
  </si>
  <si>
    <t>Facteur de charge à l'année n</t>
  </si>
  <si>
    <t>Hyperscalers IA</t>
  </si>
  <si>
    <t>Puissances ajoutées TOTALES</t>
  </si>
  <si>
    <t>Puissance totale (GW)</t>
  </si>
  <si>
    <t>Capacité installée (en 2024)</t>
  </si>
  <si>
    <t>Puissances  TOTALES</t>
  </si>
  <si>
    <t xml:space="preserve">Facteur de charge </t>
  </si>
  <si>
    <t>Conso (TWh)</t>
  </si>
  <si>
    <t>Puissance totale (hyperscalers Sommet de l'IA) (GW)</t>
  </si>
  <si>
    <t>hyperscalers Sommet de l'IA</t>
  </si>
  <si>
    <t>Consommation</t>
  </si>
  <si>
    <t>Consommation (TWh)</t>
  </si>
  <si>
    <t>Coloc</t>
  </si>
  <si>
    <t>Calculs préliminaires</t>
  </si>
  <si>
    <t>2020/2025</t>
  </si>
  <si>
    <t>Croissance moyenne de la consommation</t>
  </si>
  <si>
    <t>Consommation DC ENEDIS</t>
  </si>
  <si>
    <t>Croissance annuelle</t>
  </si>
  <si>
    <t>Puissance ENEDIS (facteur de charge à 35%)</t>
  </si>
  <si>
    <t>Puissance non trackée par ENEDIS (on s'arrete aux baies de bureau)</t>
  </si>
  <si>
    <t>Edge, entreprises, bureaux</t>
  </si>
  <si>
    <t>Consommation d'éléectricité</t>
  </si>
  <si>
    <t>Consommation d'electicité (TWh)</t>
  </si>
  <si>
    <t>Scénario "ancien tendanciel"</t>
  </si>
  <si>
    <t>Hypothèses</t>
  </si>
  <si>
    <t>même que ADEME/Arcep</t>
  </si>
  <si>
    <t>Consommation d'électricité</t>
  </si>
  <si>
    <t>Part dans le total en 2035</t>
  </si>
  <si>
    <t>Hyperscalers (Annonces Sommet de l'IA)</t>
  </si>
  <si>
    <t>Edge, entreprise</t>
  </si>
  <si>
    <t>Scénario "nouveau tendanciel" - avec annonces Sommet de l'IA</t>
  </si>
  <si>
    <t>Scénario "nouveau tendanciel" - sans annonces Sommet de l'IA</t>
  </si>
  <si>
    <t>Part des annonces Sommet de l'IA</t>
  </si>
  <si>
    <t>Capacitées installées</t>
  </si>
  <si>
    <t>Capacités installées (GW)</t>
  </si>
  <si>
    <t>Scénario "nouveau tendanciel" avec annonces Sommet de l'IA</t>
  </si>
  <si>
    <t>Scénario "nouveau tendanciel" sans annonces Sommet de l'IA</t>
  </si>
  <si>
    <t>Total sans HPC IA</t>
  </si>
  <si>
    <t>=</t>
  </si>
  <si>
    <t>Empreinte carbone</t>
  </si>
  <si>
    <t>Facteur d'émission elec</t>
  </si>
  <si>
    <t>Part occupée par la fabrication dans les émission</t>
  </si>
  <si>
    <t>France</t>
  </si>
  <si>
    <t>Fr</t>
  </si>
  <si>
    <t>Etranger</t>
  </si>
  <si>
    <t>étranger</t>
  </si>
  <si>
    <t>France avec IA</t>
  </si>
  <si>
    <t>France sans IA</t>
  </si>
  <si>
    <t>Empreinte - variante avec IA</t>
  </si>
  <si>
    <t>Empreinte - variante sans IA</t>
  </si>
  <si>
    <t>Objectif (-45% Étranger, -30% France 2020)</t>
  </si>
  <si>
    <t xml:space="preserve">Les W installés en année n sont calculés sur la base des GW annoncés dans le dernier SDDR. Ils sont progressivement installés sur une durée de 15 ans. </t>
  </si>
  <si>
    <t xml:space="preserve">Certaines hypothèses ont été prises pour ce modèle </t>
  </si>
  <si>
    <t xml:space="preserve">1. tous les GW entrés dans le pipe de RTE (donc HPC et colocations) mettent 10 ans pour arriver à la puissance maximale installable et 5 ans pour les hyperscalers annoncés au Sommet de l'IA. </t>
  </si>
  <si>
    <t>2. les facteurs de charge évoluent de l'année 1 à l'année n d'installation d'un W</t>
  </si>
  <si>
    <t xml:space="preserve">Consommation d'électricité - cible </t>
  </si>
  <si>
    <t>Scénario "cible"</t>
  </si>
  <si>
    <t xml:space="preserve">Consommation d'électricité - rappel du tendanciel </t>
  </si>
  <si>
    <t>même que new BaU</t>
  </si>
  <si>
    <t>On vise -30% en émissions nationales, et -45% de notre empreinte à l'étranger</t>
  </si>
  <si>
    <t>Données</t>
  </si>
  <si>
    <t>Facteur d'émission de l'électricité</t>
  </si>
  <si>
    <t>Sources</t>
  </si>
  <si>
    <t xml:space="preserve">AIE </t>
  </si>
  <si>
    <t>STEPS</t>
  </si>
  <si>
    <t>2019 - RTE NO3</t>
  </si>
  <si>
    <t>2030</t>
  </si>
  <si>
    <t>2040</t>
  </si>
  <si>
    <t>2050</t>
  </si>
  <si>
    <t>2060</t>
  </si>
  <si>
    <t>filières</t>
  </si>
  <si>
    <t>unité</t>
  </si>
  <si>
    <t>Nucléaire</t>
  </si>
  <si>
    <t>%</t>
  </si>
  <si>
    <t>Éolien terrestre</t>
  </si>
  <si>
    <t>Éolien en mer</t>
  </si>
  <si>
    <t>Photovoltaïque</t>
  </si>
  <si>
    <t>Énergies marines</t>
  </si>
  <si>
    <t>Hydraulique</t>
  </si>
  <si>
    <t>Bioénergies</t>
  </si>
  <si>
    <t>Thermique</t>
  </si>
  <si>
    <t>Filières</t>
  </si>
  <si>
    <t>Fe 2020 (gCO2eq/kWh)</t>
  </si>
  <si>
    <t>Fe 2030 (gCO2eq/kWh)</t>
  </si>
  <si>
    <t>Fe 2040 (gCO2eq/kWh)</t>
  </si>
  <si>
    <t>Fe 2050 (gCO2eq/kWh)</t>
  </si>
  <si>
    <t>/</t>
  </si>
  <si>
    <t>Part de la fabrication dans les émissions</t>
  </si>
  <si>
    <t>Part occupée par la fabrication dans les émissions</t>
  </si>
  <si>
    <t>Consommation élec</t>
  </si>
  <si>
    <t>France - avec annonces Sommet IA</t>
  </si>
  <si>
    <t>France - sans annonces Sommet IA</t>
  </si>
  <si>
    <t>France - avec annonces Sommet IA et rapatriement de l'étranger</t>
  </si>
  <si>
    <t>Empreinte et part des centres de données dans l'empreinte totale du numérique dans l'étude ADEME-Arcep</t>
  </si>
  <si>
    <t>Part</t>
  </si>
  <si>
    <t>Centres de données</t>
  </si>
  <si>
    <t>Empreinte numérique</t>
  </si>
  <si>
    <t>Scénario tendanciel</t>
  </si>
  <si>
    <t>Scénario sobriété numérique</t>
  </si>
  <si>
    <t>Scénario écoconception modéré</t>
  </si>
  <si>
    <t>Scénario écoconception généralisé</t>
  </si>
  <si>
    <t>Scénario « Génération Frugale » (S1)</t>
  </si>
  <si>
    <t>Scénario « Coopérations Territoriales » (S2)</t>
  </si>
  <si>
    <t>Scénario « Technologies Vertes » (S3)</t>
  </si>
  <si>
    <t>Scénario « Pari réparateur » (S4)</t>
  </si>
  <si>
    <t>France scénario tendanciel ADEME-Arcep</t>
  </si>
  <si>
    <t>France scénario sobriété numérique ADEME-Arcep</t>
  </si>
  <si>
    <t>France scénario écoconception modéré ADEME-Arcep</t>
  </si>
  <si>
    <t>France scénario écoconception généralisé ADEME-Arcep</t>
  </si>
  <si>
    <t>Calculs avec décarbonation du mix électrique mondial (scénario STEPS de l'AIE)</t>
  </si>
  <si>
    <t>Baisse relative 2030 par rapport à 2020</t>
  </si>
  <si>
    <t>Scenario nouveau tendanciel - avec annonces Sommet IA</t>
  </si>
  <si>
    <t>Scenario nouveau tendanciel - sans annonces Sommet IA</t>
  </si>
  <si>
    <t>France - avec annonces Sommet IA et rapatriement étranger</t>
  </si>
  <si>
    <t>Empreinte scénario référence ADEME-Arcep</t>
  </si>
  <si>
    <t>Empreinte scénario sobriété numérique ADEME-Arcep</t>
  </si>
  <si>
    <t>Empreinte scénario écoconception modéré ADEME-Arcep</t>
  </si>
  <si>
    <t>Empreinte scénario écoconception généralisé ADEME-Arcep</t>
  </si>
  <si>
    <t>Scenario cible</t>
  </si>
  <si>
    <t>Objectif 2050 (-90% 2020)</t>
  </si>
  <si>
    <t>Calculs sans décarbonation du mix électrique mondial</t>
  </si>
  <si>
    <t>Outil</t>
  </si>
  <si>
    <t>Empreinte</t>
  </si>
  <si>
    <t xml:space="preserve">Consommation France 2020 </t>
  </si>
  <si>
    <t>Empreinte 2020</t>
  </si>
  <si>
    <t>Empreinte objectif 2030</t>
  </si>
  <si>
    <t>Empreinte objectif 2050</t>
  </si>
  <si>
    <t>Empreinte 2050 si J111 à l'étranger</t>
  </si>
  <si>
    <t>Consommation tendanciel 2030</t>
  </si>
  <si>
    <t>Consommation objectif 2030</t>
  </si>
  <si>
    <t>Consommation objectif 2050 en France (si 0 à l'étranger)</t>
  </si>
  <si>
    <t xml:space="preserve">Hyp sur consommation étranger 2050 </t>
  </si>
  <si>
    <t>Consommation objectif 2050 en France (si J111 à l'étranger)</t>
  </si>
  <si>
    <t xml:space="preserve">Consommation à l'étranger 2050 </t>
  </si>
  <si>
    <t>Consommation objectif 2050 en France</t>
  </si>
  <si>
    <t>Sc nouveau tendanciel</t>
  </si>
  <si>
    <t>&lt;==</t>
  </si>
  <si>
    <t>bouton à cliquer</t>
  </si>
  <si>
    <t>Total (pour le graphe)</t>
  </si>
  <si>
    <t>Empreinte du secteur - avec décarbonation du mix électrique mondial (scénario STEPS de l'AIE)</t>
  </si>
  <si>
    <t>Empreinte du secteur - sans décarbonation du mix électrique mondial</t>
  </si>
  <si>
    <t>Empreinte du secteur et consommation - avec décarbonation du mix électrique mondial (scénario STEPS de l'AIE)</t>
  </si>
  <si>
    <t>Conso Fr Nouveau tendanciel +</t>
  </si>
  <si>
    <t>Conso Etr</t>
  </si>
  <si>
    <t>Conso Fr cible</t>
  </si>
  <si>
    <t>Empreinte Fr Nouveau tendanciel +</t>
  </si>
  <si>
    <t>Empreinte Fr Nouveau tendanciel -</t>
  </si>
  <si>
    <t xml:space="preserve">Empreinte totale cible </t>
  </si>
  <si>
    <t>Empreinte Etr</t>
  </si>
  <si>
    <t>Consommation des centres de données entre 2020 et 2035 selon les scénarios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</si>
</sst>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9">
    <font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rgb="FF000000"/>
      <name val="Calibri"/>
      <family val="2"/>
    </font>
    <font>
      <sz val="14"/>
      <color rgb="FF000000"/>
      <name val="Calibri"/>
      <family val="2"/>
    </font>
    <font>
      <sz val="11"/>
      <color theme="1"/>
      <name val="Arial"/>
      <family val="2"/>
      <scheme val="minor"/>
    </font>
    <font>
      <u/>
      <sz val="12"/>
      <color theme="10"/>
      <name val="Arial"/>
      <family val="2"/>
      <scheme val="minor"/>
    </font>
    <font>
      <sz val="12"/>
      <color rgb="FF000000"/>
      <name val="Arial"/>
      <family val="2"/>
      <scheme val="minor"/>
    </font>
    <font>
      <sz val="12"/>
      <color rgb="FF000000"/>
      <name val="Calibri"/>
      <family val="2"/>
    </font>
    <font>
      <b/>
      <sz val="12"/>
      <color theme="0"/>
      <name val="Arial"/>
      <family val="2"/>
      <scheme val="minor"/>
    </font>
    <font>
      <sz val="12"/>
      <color theme="0"/>
      <name val="Arial"/>
      <family val="2"/>
      <scheme val="minor"/>
    </font>
    <font>
      <b/>
      <sz val="12"/>
      <color rgb="FF002060"/>
      <name val="Arial"/>
      <family val="2"/>
    </font>
    <font>
      <sz val="12"/>
      <color theme="1"/>
      <name val="Arial"/>
      <family val="2"/>
    </font>
    <font>
      <sz val="11"/>
      <color rgb="FF000000"/>
      <name val="Arial"/>
      <family val="2"/>
    </font>
    <font>
      <sz val="12"/>
      <color rgb="FF000000"/>
      <name val="Arial"/>
      <family val="2"/>
    </font>
    <font>
      <sz val="14"/>
      <color rgb="FF000000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b/>
      <sz val="11"/>
      <color theme="0"/>
      <name val="Arial"/>
      <family val="2"/>
    </font>
    <font>
      <sz val="12"/>
      <color theme="0"/>
      <name val="Calibri"/>
      <family val="2"/>
    </font>
    <font>
      <sz val="11"/>
      <color theme="0"/>
      <name val="Calibri"/>
      <family val="2"/>
    </font>
    <font>
      <sz val="12"/>
      <color theme="0"/>
      <name val="Arial"/>
      <family val="2"/>
    </font>
    <font>
      <sz val="12"/>
      <color rgb="FF002060"/>
      <name val="Arial"/>
      <family val="2"/>
    </font>
    <font>
      <sz val="11"/>
      <color theme="0"/>
      <name val="Arial"/>
      <family val="2"/>
    </font>
    <font>
      <sz val="12"/>
      <color rgb="FFFFFFFF"/>
      <name val="Arial"/>
      <family val="2"/>
      <scheme val="minor"/>
    </font>
    <font>
      <sz val="16"/>
      <color theme="1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4"/>
      <color theme="1"/>
      <name val="Arial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rgb="FFFEA063"/>
        <bgColor rgb="FF000000"/>
      </patternFill>
    </fill>
    <fill>
      <patternFill patternType="solid">
        <fgColor rgb="FF0009B5"/>
        <bgColor rgb="FF000000"/>
      </patternFill>
    </fill>
    <fill>
      <patternFill patternType="solid">
        <fgColor rgb="FFFFCC99"/>
      </patternFill>
    </fill>
    <fill>
      <patternFill patternType="solid">
        <fgColor rgb="FFF2F2F2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/>
    <xf numFmtId="0" fontId="26" fillId="14" borderId="12" applyNumberFormat="0" applyAlignment="0" applyProtection="0"/>
    <xf numFmtId="0" fontId="27" fillId="15" borderId="13" applyNumberFormat="0" applyAlignment="0" applyProtection="0"/>
  </cellStyleXfs>
  <cellXfs count="155">
    <xf numFmtId="0" fontId="0" fillId="0" borderId="0" xfId="0"/>
    <xf numFmtId="0" fontId="3" fillId="0" borderId="0" xfId="0" applyFont="1"/>
    <xf numFmtId="0" fontId="3" fillId="0" borderId="1" xfId="0" applyFont="1" applyBorder="1"/>
    <xf numFmtId="2" fontId="0" fillId="0" borderId="0" xfId="0" applyNumberFormat="1"/>
    <xf numFmtId="0" fontId="0" fillId="0" borderId="1" xfId="0" applyBorder="1"/>
    <xf numFmtId="2" fontId="0" fillId="0" borderId="1" xfId="0" applyNumberFormat="1" applyBorder="1"/>
    <xf numFmtId="164" fontId="0" fillId="0" borderId="0" xfId="0" applyNumberFormat="1"/>
    <xf numFmtId="164" fontId="0" fillId="0" borderId="1" xfId="0" applyNumberFormat="1" applyBorder="1"/>
    <xf numFmtId="2" fontId="0" fillId="6" borderId="1" xfId="0" applyNumberFormat="1" applyFill="1" applyBorder="1"/>
    <xf numFmtId="164" fontId="0" fillId="0" borderId="2" xfId="0" applyNumberFormat="1" applyBorder="1"/>
    <xf numFmtId="164" fontId="0" fillId="0" borderId="3" xfId="0" applyNumberFormat="1" applyBorder="1"/>
    <xf numFmtId="0" fontId="8" fillId="0" borderId="1" xfId="0" applyFont="1" applyBorder="1"/>
    <xf numFmtId="0" fontId="0" fillId="0" borderId="0" xfId="0" applyAlignment="1">
      <alignment vertical="top"/>
    </xf>
    <xf numFmtId="165" fontId="0" fillId="0" borderId="1" xfId="0" applyNumberFormat="1" applyBorder="1"/>
    <xf numFmtId="9" fontId="0" fillId="0" borderId="0" xfId="1" applyFont="1"/>
    <xf numFmtId="0" fontId="0" fillId="0" borderId="5" xfId="0" applyBorder="1"/>
    <xf numFmtId="9" fontId="0" fillId="0" borderId="1" xfId="1" applyFont="1" applyBorder="1"/>
    <xf numFmtId="0" fontId="0" fillId="0" borderId="1" xfId="0" applyBorder="1" applyAlignment="1">
      <alignment wrapText="1"/>
    </xf>
    <xf numFmtId="0" fontId="0" fillId="4" borderId="1" xfId="0" applyFill="1" applyBorder="1" applyAlignment="1">
      <alignment wrapText="1"/>
    </xf>
    <xf numFmtId="1" fontId="0" fillId="0" borderId="1" xfId="0" applyNumberFormat="1" applyBorder="1"/>
    <xf numFmtId="0" fontId="4" fillId="0" borderId="0" xfId="0" applyFont="1" applyAlignment="1">
      <alignment horizontal="center"/>
    </xf>
    <xf numFmtId="0" fontId="11" fillId="0" borderId="1" xfId="0" applyFont="1" applyBorder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9" fontId="8" fillId="0" borderId="1" xfId="1" applyFont="1" applyFill="1" applyBorder="1" applyAlignment="1">
      <alignment horizontal="center"/>
    </xf>
    <xf numFmtId="2" fontId="0" fillId="0" borderId="1" xfId="1" applyNumberFormat="1" applyFont="1" applyFill="1" applyBorder="1"/>
    <xf numFmtId="165" fontId="0" fillId="4" borderId="1" xfId="0" applyNumberFormat="1" applyFill="1" applyBorder="1" applyAlignment="1">
      <alignment horizontal="center" vertical="top" wrapText="1"/>
    </xf>
    <xf numFmtId="165" fontId="0" fillId="0" borderId="1" xfId="0" applyNumberFormat="1" applyBorder="1" applyAlignment="1">
      <alignment horizontal="center" vertical="top"/>
    </xf>
    <xf numFmtId="165" fontId="8" fillId="7" borderId="1" xfId="0" applyNumberFormat="1" applyFont="1" applyFill="1" applyBorder="1" applyAlignment="1">
      <alignment horizontal="center" vertical="top"/>
    </xf>
    <xf numFmtId="165" fontId="8" fillId="0" borderId="1" xfId="0" applyNumberFormat="1" applyFont="1" applyBorder="1" applyAlignment="1">
      <alignment horizontal="center" vertical="top"/>
    </xf>
    <xf numFmtId="165" fontId="8" fillId="0" borderId="0" xfId="0" applyNumberFormat="1" applyFont="1" applyAlignment="1">
      <alignment horizontal="center" vertical="top"/>
    </xf>
    <xf numFmtId="165" fontId="0" fillId="0" borderId="0" xfId="0" applyNumberFormat="1"/>
    <xf numFmtId="1" fontId="11" fillId="0" borderId="1" xfId="0" applyNumberFormat="1" applyFont="1" applyBorder="1"/>
    <xf numFmtId="0" fontId="0" fillId="0" borderId="0" xfId="0" applyAlignment="1">
      <alignment wrapText="1"/>
    </xf>
    <xf numFmtId="0" fontId="13" fillId="0" borderId="1" xfId="0" applyFont="1" applyBorder="1"/>
    <xf numFmtId="0" fontId="14" fillId="0" borderId="1" xfId="0" applyFont="1" applyBorder="1"/>
    <xf numFmtId="9" fontId="14" fillId="0" borderId="1" xfId="0" applyNumberFormat="1" applyFont="1" applyBorder="1"/>
    <xf numFmtId="2" fontId="13" fillId="0" borderId="1" xfId="0" applyNumberFormat="1" applyFont="1" applyBorder="1"/>
    <xf numFmtId="2" fontId="13" fillId="6" borderId="1" xfId="0" applyNumberFormat="1" applyFont="1" applyFill="1" applyBorder="1"/>
    <xf numFmtId="0" fontId="12" fillId="0" borderId="0" xfId="0" applyFont="1"/>
    <xf numFmtId="0" fontId="13" fillId="0" borderId="0" xfId="0" applyFont="1"/>
    <xf numFmtId="0" fontId="14" fillId="0" borderId="0" xfId="0" applyFont="1"/>
    <xf numFmtId="9" fontId="13" fillId="0" borderId="1" xfId="1" applyFont="1" applyBorder="1"/>
    <xf numFmtId="9" fontId="13" fillId="5" borderId="1" xfId="1" applyFont="1" applyFill="1" applyBorder="1"/>
    <xf numFmtId="9" fontId="13" fillId="0" borderId="1" xfId="1" applyFont="1" applyFill="1" applyBorder="1"/>
    <xf numFmtId="9" fontId="16" fillId="0" borderId="1" xfId="0" applyNumberFormat="1" applyFont="1" applyBorder="1"/>
    <xf numFmtId="0" fontId="12" fillId="0" borderId="1" xfId="0" applyFont="1" applyBorder="1"/>
    <xf numFmtId="2" fontId="12" fillId="0" borderId="1" xfId="0" applyNumberFormat="1" applyFont="1" applyBorder="1"/>
    <xf numFmtId="0" fontId="12" fillId="5" borderId="1" xfId="0" applyFont="1" applyFill="1" applyBorder="1"/>
    <xf numFmtId="0" fontId="16" fillId="0" borderId="1" xfId="0" applyFont="1" applyBorder="1"/>
    <xf numFmtId="2" fontId="16" fillId="0" borderId="1" xfId="0" applyNumberFormat="1" applyFont="1" applyBorder="1"/>
    <xf numFmtId="164" fontId="12" fillId="5" borderId="1" xfId="0" applyNumberFormat="1" applyFont="1" applyFill="1" applyBorder="1"/>
    <xf numFmtId="164" fontId="12" fillId="0" borderId="1" xfId="0" applyNumberFormat="1" applyFont="1" applyBorder="1"/>
    <xf numFmtId="164" fontId="17" fillId="0" borderId="1" xfId="0" applyNumberFormat="1" applyFont="1" applyBorder="1"/>
    <xf numFmtId="164" fontId="12" fillId="0" borderId="0" xfId="0" applyNumberFormat="1" applyFont="1"/>
    <xf numFmtId="164" fontId="12" fillId="0" borderId="4" xfId="0" applyNumberFormat="1" applyFont="1" applyBorder="1"/>
    <xf numFmtId="164" fontId="12" fillId="0" borderId="5" xfId="0" applyNumberFormat="1" applyFont="1" applyBorder="1"/>
    <xf numFmtId="2" fontId="12" fillId="0" borderId="0" xfId="0" applyNumberFormat="1" applyFont="1"/>
    <xf numFmtId="164" fontId="12" fillId="0" borderId="6" xfId="0" applyNumberFormat="1" applyFont="1" applyBorder="1"/>
    <xf numFmtId="0" fontId="18" fillId="8" borderId="1" xfId="0" applyFont="1" applyFill="1" applyBorder="1"/>
    <xf numFmtId="0" fontId="10" fillId="8" borderId="1" xfId="0" applyFont="1" applyFill="1" applyBorder="1"/>
    <xf numFmtId="0" fontId="19" fillId="8" borderId="1" xfId="0" applyFont="1" applyFill="1" applyBorder="1"/>
    <xf numFmtId="0" fontId="10" fillId="8" borderId="2" xfId="0" applyFont="1" applyFill="1" applyBorder="1"/>
    <xf numFmtId="0" fontId="18" fillId="8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/>
    </xf>
    <xf numFmtId="0" fontId="10" fillId="8" borderId="1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horizontal="center" vertical="center"/>
    </xf>
    <xf numFmtId="0" fontId="20" fillId="8" borderId="1" xfId="0" applyFont="1" applyFill="1" applyBorder="1"/>
    <xf numFmtId="0" fontId="20" fillId="8" borderId="1" xfId="0" applyFont="1" applyFill="1" applyBorder="1" applyAlignment="1">
      <alignment wrapText="1"/>
    </xf>
    <xf numFmtId="0" fontId="18" fillId="8" borderId="1" xfId="0" applyFont="1" applyFill="1" applyBorder="1" applyAlignment="1">
      <alignment wrapText="1"/>
    </xf>
    <xf numFmtId="165" fontId="0" fillId="0" borderId="4" xfId="0" applyNumberFormat="1" applyBorder="1"/>
    <xf numFmtId="9" fontId="8" fillId="0" borderId="1" xfId="1" applyFont="1" applyFill="1" applyBorder="1" applyAlignment="1">
      <alignment horizontal="right" vertical="center"/>
    </xf>
    <xf numFmtId="9" fontId="0" fillId="0" borderId="1" xfId="1" applyFont="1" applyBorder="1" applyAlignment="1">
      <alignment horizontal="right" vertical="center"/>
    </xf>
    <xf numFmtId="0" fontId="10" fillId="8" borderId="1" xfId="0" applyFont="1" applyFill="1" applyBorder="1" applyAlignment="1">
      <alignment horizontal="center" vertical="top" wrapText="1"/>
    </xf>
    <xf numFmtId="0" fontId="19" fillId="8" borderId="1" xfId="0" applyFont="1" applyFill="1" applyBorder="1" applyAlignment="1">
      <alignment horizontal="center" wrapText="1"/>
    </xf>
    <xf numFmtId="0" fontId="10" fillId="8" borderId="1" xfId="0" applyFont="1" applyFill="1" applyBorder="1" applyAlignment="1">
      <alignment wrapText="1"/>
    </xf>
    <xf numFmtId="0" fontId="10" fillId="8" borderId="0" xfId="0" applyFont="1" applyFill="1"/>
    <xf numFmtId="0" fontId="21" fillId="8" borderId="1" xfId="0" applyFont="1" applyFill="1" applyBorder="1" applyAlignment="1">
      <alignment horizontal="center" vertical="top"/>
    </xf>
    <xf numFmtId="0" fontId="21" fillId="8" borderId="1" xfId="0" applyFont="1" applyFill="1" applyBorder="1"/>
    <xf numFmtId="0" fontId="19" fillId="8" borderId="1" xfId="0" applyFont="1" applyFill="1" applyBorder="1" applyAlignment="1">
      <alignment horizontal="center" vertical="center" wrapText="1"/>
    </xf>
    <xf numFmtId="0" fontId="21" fillId="8" borderId="1" xfId="0" applyFont="1" applyFill="1" applyBorder="1" applyAlignment="1">
      <alignment vertical="center"/>
    </xf>
    <xf numFmtId="0" fontId="10" fillId="8" borderId="1" xfId="0" applyFont="1" applyFill="1" applyBorder="1" applyAlignment="1">
      <alignment vertical="center" wrapText="1"/>
    </xf>
    <xf numFmtId="165" fontId="0" fillId="0" borderId="1" xfId="1" applyNumberFormat="1" applyFont="1" applyFill="1" applyBorder="1"/>
    <xf numFmtId="0" fontId="0" fillId="0" borderId="0" xfId="0" applyAlignment="1">
      <alignment vertical="center"/>
    </xf>
    <xf numFmtId="165" fontId="0" fillId="0" borderId="0" xfId="0" applyNumberFormat="1" applyAlignment="1">
      <alignment wrapText="1"/>
    </xf>
    <xf numFmtId="0" fontId="21" fillId="8" borderId="1" xfId="0" applyFont="1" applyFill="1" applyBorder="1" applyAlignment="1">
      <alignment horizontal="center" vertical="top" wrapText="1"/>
    </xf>
    <xf numFmtId="0" fontId="0" fillId="0" borderId="1" xfId="0" applyBorder="1" applyAlignment="1">
      <alignment horizontal="center" vertical="center" wrapText="1"/>
    </xf>
    <xf numFmtId="0" fontId="10" fillId="8" borderId="4" xfId="0" applyFont="1" applyFill="1" applyBorder="1" applyAlignment="1">
      <alignment wrapText="1"/>
    </xf>
    <xf numFmtId="1" fontId="21" fillId="8" borderId="4" xfId="0" applyNumberFormat="1" applyFont="1" applyFill="1" applyBorder="1"/>
    <xf numFmtId="1" fontId="21" fillId="8" borderId="1" xfId="0" applyNumberFormat="1" applyFont="1" applyFill="1" applyBorder="1"/>
    <xf numFmtId="1" fontId="21" fillId="8" borderId="1" xfId="0" applyNumberFormat="1" applyFont="1" applyFill="1" applyBorder="1" applyAlignment="1">
      <alignment wrapText="1"/>
    </xf>
    <xf numFmtId="0" fontId="8" fillId="0" borderId="1" xfId="0" applyFont="1" applyBorder="1" applyAlignment="1">
      <alignment horizontal="left" vertical="top" wrapText="1"/>
    </xf>
    <xf numFmtId="0" fontId="19" fillId="10" borderId="1" xfId="0" applyFont="1" applyFill="1" applyBorder="1" applyAlignment="1">
      <alignment horizontal="center" vertical="center" wrapText="1"/>
    </xf>
    <xf numFmtId="1" fontId="21" fillId="10" borderId="1" xfId="0" applyNumberFormat="1" applyFont="1" applyFill="1" applyBorder="1" applyAlignment="1">
      <alignment vertical="center" wrapText="1"/>
    </xf>
    <xf numFmtId="165" fontId="0" fillId="0" borderId="1" xfId="0" applyNumberFormat="1" applyBorder="1" applyAlignment="1">
      <alignment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wrapText="1"/>
    </xf>
    <xf numFmtId="165" fontId="3" fillId="0" borderId="4" xfId="0" applyNumberFormat="1" applyFont="1" applyBorder="1" applyAlignment="1">
      <alignment wrapText="1"/>
    </xf>
    <xf numFmtId="165" fontId="3" fillId="0" borderId="1" xfId="0" applyNumberFormat="1" applyFont="1" applyBorder="1" applyAlignment="1">
      <alignment wrapText="1"/>
    </xf>
    <xf numFmtId="165" fontId="0" fillId="0" borderId="4" xfId="0" applyNumberFormat="1" applyBorder="1" applyAlignment="1">
      <alignment wrapText="1"/>
    </xf>
    <xf numFmtId="0" fontId="2" fillId="0" borderId="1" xfId="0" applyFont="1" applyBorder="1" applyAlignment="1">
      <alignment wrapText="1"/>
    </xf>
    <xf numFmtId="165" fontId="8" fillId="0" borderId="1" xfId="0" applyNumberFormat="1" applyFont="1" applyBorder="1" applyAlignment="1">
      <alignment horizontal="left" vertical="top" wrapText="1"/>
    </xf>
    <xf numFmtId="164" fontId="2" fillId="0" borderId="1" xfId="0" applyNumberFormat="1" applyFont="1" applyBorder="1"/>
    <xf numFmtId="2" fontId="1" fillId="0" borderId="1" xfId="2" applyNumberFormat="1" applyFont="1" applyBorder="1"/>
    <xf numFmtId="9" fontId="0" fillId="0" borderId="1" xfId="0" applyNumberFormat="1" applyBorder="1"/>
    <xf numFmtId="0" fontId="12" fillId="0" borderId="0" xfId="0" applyFont="1" applyAlignment="1">
      <alignment wrapText="1"/>
    </xf>
    <xf numFmtId="0" fontId="21" fillId="8" borderId="1" xfId="0" applyFont="1" applyFill="1" applyBorder="1" applyAlignment="1">
      <alignment wrapText="1"/>
    </xf>
    <xf numFmtId="0" fontId="14" fillId="0" borderId="1" xfId="0" applyFont="1" applyBorder="1" applyAlignment="1">
      <alignment wrapText="1"/>
    </xf>
    <xf numFmtId="164" fontId="0" fillId="0" borderId="4" xfId="0" applyNumberFormat="1" applyBorder="1"/>
    <xf numFmtId="0" fontId="8" fillId="0" borderId="1" xfId="0" applyFont="1" applyBorder="1" applyAlignment="1">
      <alignment wrapText="1"/>
    </xf>
    <xf numFmtId="164" fontId="12" fillId="0" borderId="2" xfId="0" applyNumberFormat="1" applyFont="1" applyBorder="1"/>
    <xf numFmtId="9" fontId="0" fillId="7" borderId="1" xfId="1" applyFont="1" applyFill="1" applyBorder="1" applyAlignment="1">
      <alignment horizontal="right" vertical="center"/>
    </xf>
    <xf numFmtId="0" fontId="13" fillId="11" borderId="1" xfId="0" applyFont="1" applyFill="1" applyBorder="1"/>
    <xf numFmtId="0" fontId="15" fillId="0" borderId="0" xfId="0" applyFont="1" applyAlignment="1">
      <alignment horizontal="center"/>
    </xf>
    <xf numFmtId="0" fontId="16" fillId="0" borderId="0" xfId="0" applyFont="1"/>
    <xf numFmtId="2" fontId="16" fillId="0" borderId="0" xfId="0" applyNumberFormat="1" applyFont="1"/>
    <xf numFmtId="1" fontId="0" fillId="0" borderId="1" xfId="0" applyNumberFormat="1" applyBorder="1" applyAlignment="1">
      <alignment horizontal="center" vertical="top"/>
    </xf>
    <xf numFmtId="1" fontId="8" fillId="0" borderId="1" xfId="0" applyNumberFormat="1" applyFont="1" applyBorder="1" applyAlignment="1">
      <alignment horizontal="center" vertical="top"/>
    </xf>
    <xf numFmtId="0" fontId="22" fillId="0" borderId="1" xfId="0" applyFont="1" applyBorder="1" applyAlignment="1">
      <alignment wrapText="1"/>
    </xf>
    <xf numFmtId="2" fontId="1" fillId="0" borderId="1" xfId="1" applyNumberFormat="1" applyFont="1" applyBorder="1"/>
    <xf numFmtId="2" fontId="0" fillId="0" borderId="1" xfId="0" applyNumberFormat="1" applyBorder="1" applyAlignment="1">
      <alignment wrapText="1"/>
    </xf>
    <xf numFmtId="0" fontId="23" fillId="8" borderId="1" xfId="0" applyFont="1" applyFill="1" applyBorder="1"/>
    <xf numFmtId="0" fontId="24" fillId="13" borderId="4" xfId="0" applyFont="1" applyFill="1" applyBorder="1" applyAlignment="1">
      <alignment wrapText="1"/>
    </xf>
    <xf numFmtId="1" fontId="24" fillId="13" borderId="10" xfId="0" applyNumberFormat="1" applyFont="1" applyFill="1" applyBorder="1"/>
    <xf numFmtId="1" fontId="24" fillId="13" borderId="4" xfId="0" applyNumberFormat="1" applyFont="1" applyFill="1" applyBorder="1"/>
    <xf numFmtId="1" fontId="24" fillId="13" borderId="11" xfId="0" applyNumberFormat="1" applyFont="1" applyFill="1" applyBorder="1"/>
    <xf numFmtId="0" fontId="7" fillId="0" borderId="1" xfId="0" applyFont="1" applyBorder="1" applyAlignment="1">
      <alignment wrapText="1"/>
    </xf>
    <xf numFmtId="165" fontId="7" fillId="0" borderId="1" xfId="0" applyNumberFormat="1" applyFont="1" applyBorder="1"/>
    <xf numFmtId="0" fontId="7" fillId="0" borderId="0" xfId="0" applyFont="1" applyAlignment="1">
      <alignment wrapText="1"/>
    </xf>
    <xf numFmtId="0" fontId="25" fillId="0" borderId="0" xfId="0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2" fontId="17" fillId="2" borderId="1" xfId="0" applyNumberFormat="1" applyFont="1" applyFill="1" applyBorder="1"/>
    <xf numFmtId="0" fontId="26" fillId="14" borderId="12" xfId="4"/>
    <xf numFmtId="165" fontId="27" fillId="15" borderId="13" xfId="5" applyNumberFormat="1"/>
    <xf numFmtId="0" fontId="15" fillId="3" borderId="0" xfId="0" applyFont="1" applyFill="1" applyAlignment="1">
      <alignment horizontal="center"/>
    </xf>
    <xf numFmtId="0" fontId="15" fillId="10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14" fillId="3" borderId="0" xfId="0" applyFont="1" applyFill="1" applyAlignment="1">
      <alignment horizontal="center"/>
    </xf>
    <xf numFmtId="0" fontId="0" fillId="0" borderId="0" xfId="0" applyAlignment="1">
      <alignment horizontal="left" vertical="top" wrapText="1"/>
    </xf>
    <xf numFmtId="0" fontId="0" fillId="9" borderId="0" xfId="0" applyFill="1" applyAlignment="1">
      <alignment horizontal="center"/>
    </xf>
    <xf numFmtId="1" fontId="21" fillId="8" borderId="7" xfId="0" applyNumberFormat="1" applyFont="1" applyFill="1" applyBorder="1" applyAlignment="1">
      <alignment horizontal="center"/>
    </xf>
    <xf numFmtId="1" fontId="21" fillId="8" borderId="8" xfId="0" applyNumberFormat="1" applyFont="1" applyFill="1" applyBorder="1" applyAlignment="1">
      <alignment horizontal="center"/>
    </xf>
    <xf numFmtId="1" fontId="21" fillId="8" borderId="9" xfId="0" applyNumberFormat="1" applyFont="1" applyFill="1" applyBorder="1" applyAlignment="1">
      <alignment horizontal="center"/>
    </xf>
    <xf numFmtId="0" fontId="0" fillId="10" borderId="0" xfId="0" applyFill="1" applyAlignment="1">
      <alignment horizontal="center"/>
    </xf>
    <xf numFmtId="0" fontId="0" fillId="9" borderId="0" xfId="0" applyFill="1" applyAlignment="1">
      <alignment horizontal="center" vertical="top"/>
    </xf>
    <xf numFmtId="0" fontId="28" fillId="10" borderId="1" xfId="0" applyFont="1" applyFill="1" applyBorder="1" applyAlignment="1">
      <alignment horizontal="center" vertical="center"/>
    </xf>
    <xf numFmtId="0" fontId="4" fillId="12" borderId="0" xfId="0" applyFont="1" applyFill="1" applyAlignment="1">
      <alignment horizontal="center"/>
    </xf>
  </cellXfs>
  <cellStyles count="6">
    <cellStyle name="Entrée" xfId="4" builtinId="20"/>
    <cellStyle name="Lien hypertexte" xfId="2" builtinId="8"/>
    <cellStyle name="Normal" xfId="0" builtinId="0"/>
    <cellStyle name="Normal 2" xfId="3" xr:uid="{FE053994-4AEF-C349-AD95-043720CE8A60}"/>
    <cellStyle name="Pourcentage" xfId="1" builtinId="5"/>
    <cellStyle name="Sortie" xfId="5" builtinId="21"/>
  </cellStyles>
  <dxfs count="0"/>
  <tableStyles count="0" defaultTableStyle="TableStyleMedium2" defaultPivotStyle="PivotStyleLight16"/>
  <colors>
    <mruColors>
      <color rgb="FFEA7131"/>
      <color rgb="FF1A6A2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0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2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Part</a:t>
            </a:r>
            <a:r>
              <a:rPr lang="fr-FR" baseline="0"/>
              <a:t> de la puissance installée des HPC et des colocations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Modelisation!$B$27</c:f>
              <c:strCache>
                <c:ptCount val="1"/>
                <c:pt idx="0">
                  <c:v>HPC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Modelisation!$C$26:$O$26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Modelisation!$C$27:$O$27</c:f>
              <c:numCache>
                <c:formatCode>0%</c:formatCode>
                <c:ptCount val="13"/>
                <c:pt idx="0">
                  <c:v>5.5991041433370664E-2</c:v>
                </c:pt>
                <c:pt idx="1">
                  <c:v>0.12106009705113849</c:v>
                </c:pt>
                <c:pt idx="2">
                  <c:v>0.13732736095558046</c:v>
                </c:pt>
                <c:pt idx="3">
                  <c:v>0.1535946248600224</c:v>
                </c:pt>
                <c:pt idx="4">
                  <c:v>0.16986188876446434</c:v>
                </c:pt>
                <c:pt idx="5">
                  <c:v>0.18612915266890628</c:v>
                </c:pt>
                <c:pt idx="6">
                  <c:v>0.20239641657334823</c:v>
                </c:pt>
                <c:pt idx="7">
                  <c:v>0.21866368047779017</c:v>
                </c:pt>
                <c:pt idx="8">
                  <c:v>0.23493094438223211</c:v>
                </c:pt>
                <c:pt idx="9">
                  <c:v>0.25119820828667405</c:v>
                </c:pt>
                <c:pt idx="10">
                  <c:v>0.26746547219111599</c:v>
                </c:pt>
                <c:pt idx="11">
                  <c:v>0.28373273609555794</c:v>
                </c:pt>
                <c:pt idx="12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86-5F40-94AC-28DD78004808}"/>
            </c:ext>
          </c:extLst>
        </c:ser>
        <c:ser>
          <c:idx val="1"/>
          <c:order val="1"/>
          <c:tx>
            <c:strRef>
              <c:f>Modelisation!$B$28</c:f>
              <c:strCache>
                <c:ptCount val="1"/>
                <c:pt idx="0">
                  <c:v>Colocation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Modelisation!$C$26:$O$26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Modelisation!$C$28:$O$28</c:f>
              <c:numCache>
                <c:formatCode>0%</c:formatCode>
                <c:ptCount val="13"/>
                <c:pt idx="0">
                  <c:v>0.94400895856662936</c:v>
                </c:pt>
                <c:pt idx="1">
                  <c:v>0.87893990294886148</c:v>
                </c:pt>
                <c:pt idx="2">
                  <c:v>0.86267263904441949</c:v>
                </c:pt>
                <c:pt idx="3">
                  <c:v>0.84640537513997749</c:v>
                </c:pt>
                <c:pt idx="4">
                  <c:v>0.83013811123553549</c:v>
                </c:pt>
                <c:pt idx="5">
                  <c:v>0.81387084733109349</c:v>
                </c:pt>
                <c:pt idx="6">
                  <c:v>0.7976035834266515</c:v>
                </c:pt>
                <c:pt idx="7">
                  <c:v>0.7813363195222095</c:v>
                </c:pt>
                <c:pt idx="8">
                  <c:v>0.7650690556177675</c:v>
                </c:pt>
                <c:pt idx="9">
                  <c:v>0.7488017917133255</c:v>
                </c:pt>
                <c:pt idx="10">
                  <c:v>0.73253452780888351</c:v>
                </c:pt>
                <c:pt idx="11">
                  <c:v>0.71626726390444151</c:v>
                </c:pt>
                <c:pt idx="12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86-5F40-94AC-28DD78004808}"/>
            </c:ext>
          </c:extLst>
        </c:ser>
        <c:ser>
          <c:idx val="2"/>
          <c:order val="2"/>
          <c:tx>
            <c:strRef>
              <c:f>'[1]new "BaU"'!#REF!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Modelisation!$C$26:$O$26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'[1]new "BaU"'!#REF!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86-5F40-94AC-28DD78004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2457792"/>
        <c:axId val="1681823088"/>
      </c:lineChart>
      <c:catAx>
        <c:axId val="117245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1823088"/>
        <c:crosses val="autoZero"/>
        <c:auto val="1"/>
        <c:lblAlgn val="ctr"/>
        <c:lblOffset val="100"/>
        <c:noMultiLvlLbl val="0"/>
      </c:catAx>
      <c:valAx>
        <c:axId val="168182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2457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200"/>
              <a:t>Consommation totale d'électricité des centres de données en France</a:t>
            </a:r>
            <a:r>
              <a:rPr lang="fr-FR" sz="1200" baseline="0"/>
              <a:t> entre 2020 et 2035 </a:t>
            </a:r>
            <a:r>
              <a:rPr lang="fr-FR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pour la variante "nouveau tendanciel" sans annonces Sommet de l'IA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2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'Sc nouveau tendanciel'!$B$7</c:f>
              <c:strCache>
                <c:ptCount val="1"/>
                <c:pt idx="0">
                  <c:v>Colocation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'Sc nouveau tendanciel'!$C$4:$O$4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nouveau tendanciel'!$C$7:$O$7</c:f>
              <c:numCache>
                <c:formatCode>0.0</c:formatCode>
                <c:ptCount val="13"/>
                <c:pt idx="0">
                  <c:v>3.9340000000000002</c:v>
                </c:pt>
                <c:pt idx="1">
                  <c:v>5.7132806461629242</c:v>
                </c:pt>
                <c:pt idx="2">
                  <c:v>6.0392930364243931</c:v>
                </c:pt>
                <c:pt idx="3">
                  <c:v>6.3630101311468028</c:v>
                </c:pt>
                <c:pt idx="4">
                  <c:v>6.6842119206984139</c:v>
                </c:pt>
                <c:pt idx="5">
                  <c:v>7.1898847634526026</c:v>
                </c:pt>
                <c:pt idx="6">
                  <c:v>8.1408619498576211</c:v>
                </c:pt>
                <c:pt idx="7">
                  <c:v>9.1434178564919382</c:v>
                </c:pt>
                <c:pt idx="8">
                  <c:v>10.19366564652816</c:v>
                </c:pt>
                <c:pt idx="9">
                  <c:v>11.287718483138907</c:v>
                </c:pt>
                <c:pt idx="10">
                  <c:v>12.421689529496785</c:v>
                </c:pt>
                <c:pt idx="11">
                  <c:v>13.591691948774413</c:v>
                </c:pt>
                <c:pt idx="12">
                  <c:v>14.749658264144399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45-744A-9A9C-AD2A9798DF82}"/>
            </c:ext>
          </c:extLst>
        </c:ser>
        <c:ser>
          <c:idx val="2"/>
          <c:order val="2"/>
          <c:tx>
            <c:strRef>
              <c:f>'Sc nouveau tendanciel'!$B$8</c:f>
              <c:strCache>
                <c:ptCount val="1"/>
                <c:pt idx="0">
                  <c:v>Edge, entreprise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'Sc nouveau tendanciel'!$C$8:$O$8</c:f>
              <c:numCache>
                <c:formatCode>0.0</c:formatCode>
                <c:ptCount val="13"/>
                <c:pt idx="0">
                  <c:v>4.0348469387755097</c:v>
                </c:pt>
                <c:pt idx="1">
                  <c:v>5.1166836734693861</c:v>
                </c:pt>
                <c:pt idx="2">
                  <c:v>5.460892256582456</c:v>
                </c:pt>
                <c:pt idx="3">
                  <c:v>5.6551434971022942</c:v>
                </c:pt>
                <c:pt idx="4">
                  <c:v>5.9010101169118743</c:v>
                </c:pt>
                <c:pt idx="5">
                  <c:v>6.1671805453811404</c:v>
                </c:pt>
                <c:pt idx="6">
                  <c:v>6.5436954100012299</c:v>
                </c:pt>
                <c:pt idx="7">
                  <c:v>7.0076129972983905</c:v>
                </c:pt>
                <c:pt idx="8">
                  <c:v>7.5382314470665426</c:v>
                </c:pt>
                <c:pt idx="9">
                  <c:v>8.1422208455527905</c:v>
                </c:pt>
                <c:pt idx="10">
                  <c:v>8.8269182876289403</c:v>
                </c:pt>
                <c:pt idx="11">
                  <c:v>9.6003945776539741</c:v>
                </c:pt>
                <c:pt idx="12">
                  <c:v>10.4715276004228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45-744A-9A9C-AD2A9798DF82}"/>
            </c:ext>
          </c:extLst>
        </c:ser>
        <c:ser>
          <c:idx val="0"/>
          <c:order val="3"/>
          <c:tx>
            <c:strRef>
              <c:f>'Sc nouveau tendanciel'!$B$6</c:f>
              <c:strCache>
                <c:ptCount val="1"/>
                <c:pt idx="0">
                  <c:v>HPC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'Sc nouveau tendanciel'!$C$4:$O$4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nouveau tendanciel'!$C$6:$O$6</c:f>
              <c:numCache>
                <c:formatCode>0.0</c:formatCode>
                <c:ptCount val="13"/>
                <c:pt idx="0">
                  <c:v>0.36666666666666675</c:v>
                </c:pt>
                <c:pt idx="1">
                  <c:v>0.79966255456513635</c:v>
                </c:pt>
                <c:pt idx="2">
                  <c:v>0.93781377874054739</c:v>
                </c:pt>
                <c:pt idx="3">
                  <c:v>1.0881246759392809</c:v>
                </c:pt>
                <c:pt idx="4">
                  <c:v>1.2508804438321097</c:v>
                </c:pt>
                <c:pt idx="5">
                  <c:v>1.5732110137964141</c:v>
                </c:pt>
                <c:pt idx="6">
                  <c:v>2.1075000036597404</c:v>
                </c:pt>
                <c:pt idx="7">
                  <c:v>2.7371834780581477</c:v>
                </c:pt>
                <c:pt idx="8">
                  <c:v>3.4672999291752848</c:v>
                </c:pt>
                <c:pt idx="9">
                  <c:v>4.3028878491948062</c:v>
                </c:pt>
                <c:pt idx="10">
                  <c:v>5.2489857303003591</c:v>
                </c:pt>
                <c:pt idx="11">
                  <c:v>6.270539852833144</c:v>
                </c:pt>
                <c:pt idx="12">
                  <c:v>7.3751995426402885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45-744A-9A9C-AD2A9798DF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81527280"/>
        <c:axId val="1726589184"/>
      </c:barChart>
      <c:lineChart>
        <c:grouping val="standard"/>
        <c:varyColors val="0"/>
        <c:ser>
          <c:idx val="3"/>
          <c:order val="1"/>
          <c:tx>
            <c:strRef>
              <c:f>'Sc nouveau tendanciel'!$B$10</c:f>
              <c:strCache>
                <c:ptCount val="1"/>
                <c:pt idx="0">
                  <c:v>Scénario "nouveau tendanciel" - sans annonces Sommet de l'IA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'Sc nouveau tendanciel'!$C$10:$O$10</c:f>
              <c:numCache>
                <c:formatCode>0.0</c:formatCode>
                <c:ptCount val="13"/>
                <c:pt idx="0">
                  <c:v>8.335513605442177</c:v>
                </c:pt>
                <c:pt idx="1">
                  <c:v>11.629626874197447</c:v>
                </c:pt>
                <c:pt idx="2">
                  <c:v>12.437999071747397</c:v>
                </c:pt>
                <c:pt idx="3">
                  <c:v>13.106278304188379</c:v>
                </c:pt>
                <c:pt idx="4">
                  <c:v>13.836102481442399</c:v>
                </c:pt>
                <c:pt idx="5">
                  <c:v>14.930276322630156</c:v>
                </c:pt>
                <c:pt idx="6">
                  <c:v>16.792057363518591</c:v>
                </c:pt>
                <c:pt idx="7">
                  <c:v>18.888214331848477</c:v>
                </c:pt>
                <c:pt idx="8">
                  <c:v>21.199197022769987</c:v>
                </c:pt>
                <c:pt idx="9">
                  <c:v>23.732827177886506</c:v>
                </c:pt>
                <c:pt idx="10">
                  <c:v>26.497593547426085</c:v>
                </c:pt>
                <c:pt idx="11">
                  <c:v>29.462626379261529</c:v>
                </c:pt>
                <c:pt idx="12">
                  <c:v>32.596385407207492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C45-744A-9A9C-AD2A9798DF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1527280"/>
        <c:axId val="1726589184"/>
      </c:lineChart>
      <c:catAx>
        <c:axId val="1681527280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6589184"/>
        <c:crosses val="autoZero"/>
        <c:auto val="1"/>
        <c:lblAlgn val="ctr"/>
        <c:lblOffset val="100"/>
        <c:noMultiLvlLbl val="0"/>
      </c:catAx>
      <c:valAx>
        <c:axId val="1726589184"/>
        <c:scaling>
          <c:orientation val="minMax"/>
          <c:max val="4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TWh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1527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Emissions de CO2 équivalent (MtCO2e) des centres de données en France et à l'étranger, avec objectif</a:t>
            </a:r>
            <a:r>
              <a:rPr lang="fr-FR" baseline="0"/>
              <a:t> cible 2030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'Sc nouveau tendanciel'!$B$74</c:f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val>
            <c:numRef>
              <c:f>'Sc nouveau tendanciel'!$C$74:$F$74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'Sc nouveau tendanciel'!$C$70:$F$70</c15:sqref>
                        </c15:formulaRef>
                      </c:ext>
                    </c:extLst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CA9C-C640-80AF-1D31C27E7596}"/>
            </c:ext>
          </c:extLst>
        </c:ser>
        <c:ser>
          <c:idx val="1"/>
          <c:order val="1"/>
          <c:tx>
            <c:strRef>
              <c:f>'Sc nouveau tendanciel'!$B$75</c:f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noFill/>
              </a:ln>
              <a:effectLst/>
            </c:spPr>
          </c:marker>
          <c:val>
            <c:numRef>
              <c:f>'Sc nouveau tendanciel'!$C$75:$F$75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'Sc nouveau tendanciel'!$C$70:$F$70</c15:sqref>
                        </c15:formulaRef>
                      </c:ext>
                    </c:extLst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3-CA9C-C640-80AF-1D31C27E75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3655248"/>
        <c:axId val="931890320"/>
      </c:lineChart>
      <c:catAx>
        <c:axId val="169365524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1890320"/>
        <c:crosses val="autoZero"/>
        <c:auto val="1"/>
        <c:lblAlgn val="ctr"/>
        <c:lblOffset val="100"/>
        <c:noMultiLvlLbl val="0"/>
      </c:catAx>
      <c:valAx>
        <c:axId val="931890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MTCO2e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93655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Consommation</a:t>
            </a:r>
            <a:r>
              <a:rPr lang="fr-FR" baseline="0"/>
              <a:t> d'électricité - tendanciel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'Sc cible'!$B$30</c:f>
              <c:strCache>
                <c:ptCount val="1"/>
                <c:pt idx="0">
                  <c:v>HPC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'Sc cible'!$C$28:$O$28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cible'!$C$30:$O$30</c:f>
              <c:numCache>
                <c:formatCode>0.0</c:formatCode>
                <c:ptCount val="13"/>
                <c:pt idx="0">
                  <c:v>0.36666666666666675</c:v>
                </c:pt>
                <c:pt idx="1">
                  <c:v>0.79966255456513635</c:v>
                </c:pt>
                <c:pt idx="2">
                  <c:v>0.93781377874054739</c:v>
                </c:pt>
                <c:pt idx="3">
                  <c:v>1.0881246759392809</c:v>
                </c:pt>
                <c:pt idx="4">
                  <c:v>1.2508804438321097</c:v>
                </c:pt>
                <c:pt idx="5">
                  <c:v>1.5732110137964141</c:v>
                </c:pt>
                <c:pt idx="6">
                  <c:v>2.1075000036597404</c:v>
                </c:pt>
                <c:pt idx="7">
                  <c:v>2.7371834780581477</c:v>
                </c:pt>
                <c:pt idx="8">
                  <c:v>3.4672999291752848</c:v>
                </c:pt>
                <c:pt idx="9">
                  <c:v>4.3028878491948062</c:v>
                </c:pt>
                <c:pt idx="10">
                  <c:v>5.2489857303003591</c:v>
                </c:pt>
                <c:pt idx="11">
                  <c:v>6.270539852833144</c:v>
                </c:pt>
                <c:pt idx="12">
                  <c:v>7.3751995426402885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AB-DC4F-90F6-B7B0B695D3D9}"/>
            </c:ext>
          </c:extLst>
        </c:ser>
        <c:ser>
          <c:idx val="4"/>
          <c:order val="2"/>
          <c:tx>
            <c:strRef>
              <c:f>'Sc cible'!$B$32</c:f>
              <c:strCache>
                <c:ptCount val="1"/>
                <c:pt idx="0">
                  <c:v>Edge, entreprise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'Sc cible'!$C$32:$O$32</c:f>
              <c:numCache>
                <c:formatCode>0.0</c:formatCode>
                <c:ptCount val="13"/>
                <c:pt idx="0">
                  <c:v>4.0348469387755097</c:v>
                </c:pt>
                <c:pt idx="1">
                  <c:v>5.1166836734693861</c:v>
                </c:pt>
                <c:pt idx="2">
                  <c:v>5.460892256582456</c:v>
                </c:pt>
                <c:pt idx="3">
                  <c:v>5.6551434971022942</c:v>
                </c:pt>
                <c:pt idx="4">
                  <c:v>5.9010101169118743</c:v>
                </c:pt>
                <c:pt idx="5">
                  <c:v>6.1671805453811404</c:v>
                </c:pt>
                <c:pt idx="6">
                  <c:v>6.5436954100012299</c:v>
                </c:pt>
                <c:pt idx="7">
                  <c:v>7.0076129972983905</c:v>
                </c:pt>
                <c:pt idx="8">
                  <c:v>7.5382314470665426</c:v>
                </c:pt>
                <c:pt idx="9">
                  <c:v>8.1422208455527905</c:v>
                </c:pt>
                <c:pt idx="10">
                  <c:v>8.8269182876289403</c:v>
                </c:pt>
                <c:pt idx="11">
                  <c:v>9.6003945776539741</c:v>
                </c:pt>
                <c:pt idx="12">
                  <c:v>10.4715276004228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BA-6B4B-9212-851D4E0C769C}"/>
            </c:ext>
          </c:extLst>
        </c:ser>
        <c:ser>
          <c:idx val="1"/>
          <c:order val="3"/>
          <c:tx>
            <c:strRef>
              <c:f>'Sc cible'!$B$31</c:f>
              <c:strCache>
                <c:ptCount val="1"/>
                <c:pt idx="0">
                  <c:v>Colocation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'Sc cible'!$C$31:$O$31</c:f>
              <c:numCache>
                <c:formatCode>0.0</c:formatCode>
                <c:ptCount val="13"/>
                <c:pt idx="0">
                  <c:v>3.9340000000000002</c:v>
                </c:pt>
                <c:pt idx="1">
                  <c:v>5.7132806461629242</c:v>
                </c:pt>
                <c:pt idx="2">
                  <c:v>6.0392930364243931</c:v>
                </c:pt>
                <c:pt idx="3">
                  <c:v>6.3630101311468028</c:v>
                </c:pt>
                <c:pt idx="4">
                  <c:v>6.6842119206984139</c:v>
                </c:pt>
                <c:pt idx="5">
                  <c:v>7.1898847634526026</c:v>
                </c:pt>
                <c:pt idx="6">
                  <c:v>8.1408619498576211</c:v>
                </c:pt>
                <c:pt idx="7">
                  <c:v>9.1434178564919382</c:v>
                </c:pt>
                <c:pt idx="8">
                  <c:v>10.19366564652816</c:v>
                </c:pt>
                <c:pt idx="9">
                  <c:v>11.287718483138907</c:v>
                </c:pt>
                <c:pt idx="10">
                  <c:v>12.421689529496785</c:v>
                </c:pt>
                <c:pt idx="11">
                  <c:v>13.591691948774413</c:v>
                </c:pt>
                <c:pt idx="12">
                  <c:v>14.749658264144399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39-B84B-A7B0-2411ABAB7C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6010272"/>
        <c:axId val="1896011984"/>
      </c:barChart>
      <c:lineChart>
        <c:grouping val="standard"/>
        <c:varyColors val="0"/>
        <c:ser>
          <c:idx val="3"/>
          <c:order val="1"/>
          <c:tx>
            <c:strRef>
              <c:f>'Sc cible'!$B$34</c:f>
              <c:strCache>
                <c:ptCount val="1"/>
                <c:pt idx="0">
                  <c:v>Scénario "nouveau tendanciel" - sans annonces Sommet de l'IA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'Sc cible'!$C$28:$O$28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cible'!$C$34:$O$34</c:f>
              <c:numCache>
                <c:formatCode>0.0</c:formatCode>
                <c:ptCount val="13"/>
                <c:pt idx="0">
                  <c:v>8.335513605442177</c:v>
                </c:pt>
                <c:pt idx="1">
                  <c:v>11.629626874197447</c:v>
                </c:pt>
                <c:pt idx="2">
                  <c:v>12.437999071747397</c:v>
                </c:pt>
                <c:pt idx="3">
                  <c:v>13.106278304188379</c:v>
                </c:pt>
                <c:pt idx="4">
                  <c:v>13.836102481442399</c:v>
                </c:pt>
                <c:pt idx="5">
                  <c:v>14.930276322630156</c:v>
                </c:pt>
                <c:pt idx="6">
                  <c:v>16.792057363518591</c:v>
                </c:pt>
                <c:pt idx="7">
                  <c:v>18.888214331848477</c:v>
                </c:pt>
                <c:pt idx="8">
                  <c:v>21.199197022769987</c:v>
                </c:pt>
                <c:pt idx="9">
                  <c:v>23.732827177886506</c:v>
                </c:pt>
                <c:pt idx="10">
                  <c:v>26.497593547426085</c:v>
                </c:pt>
                <c:pt idx="11">
                  <c:v>29.462626379261529</c:v>
                </c:pt>
                <c:pt idx="12">
                  <c:v>32.596385407207492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0AB-DC4F-90F6-B7B0B695D3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6010272"/>
        <c:axId val="1896011984"/>
      </c:lineChart>
      <c:catAx>
        <c:axId val="1896010272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6011984"/>
        <c:crosses val="autoZero"/>
        <c:auto val="1"/>
        <c:lblAlgn val="ctr"/>
        <c:lblOffset val="100"/>
        <c:noMultiLvlLbl val="0"/>
      </c:catAx>
      <c:valAx>
        <c:axId val="1896011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601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Consommation</a:t>
            </a:r>
            <a:r>
              <a:rPr lang="fr-FR" baseline="0"/>
              <a:t> d'électricité - scénario cible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'Sc cible'!$B$9</c:f>
              <c:strCache>
                <c:ptCount val="1"/>
                <c:pt idx="0">
                  <c:v>Scénario "cible"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'Sc cible'!$C$8:$J$8</c:f>
              <c:numCache>
                <c:formatCode>General</c:formatCode>
                <c:ptCount val="8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</c:numCache>
            </c:numRef>
          </c:cat>
          <c:val>
            <c:numRef>
              <c:f>'Sc cible'!$C$9:$J$9</c:f>
              <c:numCache>
                <c:formatCode>General</c:formatCode>
                <c:ptCount val="8"/>
                <c:pt idx="0" formatCode="0.0">
                  <c:v>8.335513605442177</c:v>
                </c:pt>
                <c:pt idx="7" formatCode="0.0">
                  <c:v>9.2958843520260448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90-F740-BC20-F792A191C8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6010272"/>
        <c:axId val="1896011984"/>
      </c:lineChart>
      <c:catAx>
        <c:axId val="18960102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6011984"/>
        <c:crosses val="autoZero"/>
        <c:auto val="1"/>
        <c:lblAlgn val="ctr"/>
        <c:lblOffset val="100"/>
        <c:noMultiLvlLbl val="0"/>
      </c:catAx>
      <c:valAx>
        <c:axId val="1896011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601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Consommation d'électricité des centres</a:t>
            </a:r>
            <a:r>
              <a:rPr lang="en-US" sz="1100" baseline="0"/>
              <a:t> de données en</a:t>
            </a:r>
            <a:r>
              <a:rPr lang="en-US" sz="1100"/>
              <a:t> 2050 en France pour respecter un objectif de décarbonation en</a:t>
            </a:r>
            <a:r>
              <a:rPr lang="en-US" sz="1100" baseline="0"/>
              <a:t> fonction de la consommation d'électricité dans les centres de données monde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rgbClr val="000000">
                    <a:lumMod val="65000"/>
                    <a:lumOff val="35000"/>
                  </a:srgbClr>
                </a:solidFill>
              </a:defRPr>
            </a:pPr>
            <a:r>
              <a:rPr lang="fr-FR" sz="800" b="0" i="0" baseline="0">
                <a:effectLst/>
              </a:rPr>
              <a:t>Hyp décarbonation France : scénario N03, RTE ; Hyp décarbonation </a:t>
            </a:r>
          </a:p>
        </c:rich>
      </c:tx>
      <c:layout>
        <c:manualLayout>
          <c:xMode val="edge"/>
          <c:yMode val="edge"/>
          <c:x val="0.11169180059145488"/>
          <c:y val="3.84646567815682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0296110645129648"/>
          <c:y val="0.22597827329523898"/>
          <c:w val="0.87705448494209426"/>
          <c:h val="0.64630402475856918"/>
        </c:manualLayout>
      </c:layout>
      <c:scatterChart>
        <c:scatterStyle val="lineMarker"/>
        <c:varyColors val="0"/>
        <c:ser>
          <c:idx val="0"/>
          <c:order val="0"/>
          <c:tx>
            <c:strRef>
              <c:f>'Sc cible'!$C$187</c:f>
              <c:strCache>
                <c:ptCount val="1"/>
                <c:pt idx="0">
                  <c:v>Consommation objectif 2050 en France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'Sc cible'!$B$188:$B$195</c:f>
              <c:numCache>
                <c:formatCode>General</c:formatCode>
                <c:ptCount val="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6.9</c:v>
                </c:pt>
              </c:numCache>
            </c:numRef>
          </c:xVal>
          <c:yVal>
            <c:numRef>
              <c:f>'Sc cible'!$C$188:$C$195</c:f>
              <c:numCache>
                <c:formatCode>General</c:formatCode>
                <c:ptCount val="8"/>
                <c:pt idx="0">
                  <c:v>65.289297364764082</c:v>
                </c:pt>
                <c:pt idx="1">
                  <c:v>55.79197116155553</c:v>
                </c:pt>
                <c:pt idx="2">
                  <c:v>46.294644958346971</c:v>
                </c:pt>
                <c:pt idx="3">
                  <c:v>36.797318755138427</c:v>
                </c:pt>
                <c:pt idx="4">
                  <c:v>27.299992551929861</c:v>
                </c:pt>
                <c:pt idx="5">
                  <c:v>17.802666348721299</c:v>
                </c:pt>
                <c:pt idx="6">
                  <c:v>8.3053401455127496</c:v>
                </c:pt>
                <c:pt idx="7">
                  <c:v>-0.24225343737495747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75A-7445-BA32-09F4524DAEE8}"/>
            </c:ext>
          </c:extLst>
        </c:ser>
        <c:ser>
          <c:idx val="1"/>
          <c:order val="1"/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ysDot"/>
              </a:ln>
              <a:effectLst/>
            </c:spPr>
          </c:marker>
          <c:xVal>
            <c:numRef>
              <c:f>'Sc cible'!$B$196:$B$203</c:f>
              <c:numCache>
                <c:formatCode>General</c:formatCode>
                <c:ptCount val="8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</c:numCache>
            </c:numRef>
          </c:xVal>
          <c:yVal>
            <c:numRef>
              <c:f>'Sc cible'!$C$196:$C$203</c:f>
              <c:numCache>
                <c:formatCode>General</c:formatCode>
                <c:ptCount val="8"/>
                <c:pt idx="0">
                  <c:v>-1.1919860576958081</c:v>
                </c:pt>
                <c:pt idx="1">
                  <c:v>-10.68931226090436</c:v>
                </c:pt>
                <c:pt idx="2">
                  <c:v>-20.186638464112924</c:v>
                </c:pt>
                <c:pt idx="3">
                  <c:v>-29.683964667321487</c:v>
                </c:pt>
                <c:pt idx="4">
                  <c:v>-39.181290870530042</c:v>
                </c:pt>
                <c:pt idx="5">
                  <c:v>-48.678617073738586</c:v>
                </c:pt>
                <c:pt idx="6">
                  <c:v>-58.175943276947159</c:v>
                </c:pt>
                <c:pt idx="7">
                  <c:v>-67.67326948015571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448-46B8-B70F-888C5DB6F7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4807008"/>
        <c:axId val="1677994624"/>
      </c:scatterChart>
      <c:valAx>
        <c:axId val="1864807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900"/>
                  <a:t>Consommation d'électricité</a:t>
                </a:r>
                <a:r>
                  <a:rPr lang="fr-FR" sz="900" baseline="0"/>
                  <a:t> dédiée aux usages français sur des centres de données monde (TWh)</a:t>
                </a:r>
                <a:endParaRPr lang="fr-FR" sz="900"/>
              </a:p>
            </c:rich>
          </c:tx>
          <c:layout>
            <c:manualLayout>
              <c:xMode val="edge"/>
              <c:yMode val="edge"/>
              <c:x val="0.13323191682912466"/>
              <c:y val="0.9086430619637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77994624"/>
        <c:crosses val="autoZero"/>
        <c:crossBetween val="midCat"/>
      </c:valAx>
      <c:valAx>
        <c:axId val="1677994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900"/>
                  <a:t>Consommation</a:t>
                </a:r>
                <a:r>
                  <a:rPr lang="fr-FR" sz="900" baseline="0"/>
                  <a:t> d'électricité dédiéee aux centres de données sur le territoire France pour des usages français (TWh)</a:t>
                </a:r>
                <a:endParaRPr lang="fr-FR" sz="900"/>
              </a:p>
            </c:rich>
          </c:tx>
          <c:layout>
            <c:manualLayout>
              <c:xMode val="edge"/>
              <c:yMode val="edge"/>
              <c:x val="1.1092138214327895E-2"/>
              <c:y val="0.173225570231347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64807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Electricity consumption of data centres in France in 2050 to meet a decarbonisation target based on global data centre electricity consumption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rgbClr val="000000">
                    <a:lumMod val="65000"/>
                    <a:lumOff val="35000"/>
                  </a:srgbClr>
                </a:solidFill>
              </a:defRPr>
            </a:pPr>
            <a:r>
              <a:rPr lang="fr-FR" sz="800" b="0" i="0" baseline="0">
                <a:effectLst/>
              </a:rPr>
              <a:t>Hyp electricity decarbonization France : scenario N03, RTE 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rgbClr val="000000">
                    <a:lumMod val="65000"/>
                    <a:lumOff val="35000"/>
                  </a:srgbClr>
                </a:solidFill>
              </a:defRPr>
            </a:pPr>
            <a:r>
              <a:rPr lang="fr-FR" sz="800" b="0" i="0" baseline="0">
                <a:effectLst/>
              </a:rPr>
              <a:t>Hyp electricity decarbonization world : STEPS, AIE</a:t>
            </a:r>
          </a:p>
        </c:rich>
      </c:tx>
      <c:layout>
        <c:manualLayout>
          <c:xMode val="edge"/>
          <c:yMode val="edge"/>
          <c:x val="0.11169180059145488"/>
          <c:y val="3.84646567815682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rgbClr val="000000">
                  <a:lumMod val="65000"/>
                  <a:lumOff val="35000"/>
                </a:srgb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0296110645129648"/>
          <c:y val="0.22597827329523898"/>
          <c:w val="0.87705448494209426"/>
          <c:h val="0.64630402475856918"/>
        </c:manualLayout>
      </c:layout>
      <c:scatterChart>
        <c:scatterStyle val="lineMarker"/>
        <c:varyColors val="0"/>
        <c:ser>
          <c:idx val="0"/>
          <c:order val="0"/>
          <c:tx>
            <c:strRef>
              <c:f>'Sc cible'!$C$187</c:f>
              <c:strCache>
                <c:ptCount val="1"/>
                <c:pt idx="0">
                  <c:v>Consommation objectif 2050 en France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'Sc cible'!$B$188:$B$195</c:f>
              <c:numCache>
                <c:formatCode>General</c:formatCode>
                <c:ptCount val="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6.9</c:v>
                </c:pt>
              </c:numCache>
            </c:numRef>
          </c:xVal>
          <c:yVal>
            <c:numRef>
              <c:f>'Sc cible'!$C$188:$C$195</c:f>
              <c:numCache>
                <c:formatCode>General</c:formatCode>
                <c:ptCount val="8"/>
                <c:pt idx="0">
                  <c:v>65.289297364764082</c:v>
                </c:pt>
                <c:pt idx="1">
                  <c:v>55.79197116155553</c:v>
                </c:pt>
                <c:pt idx="2">
                  <c:v>46.294644958346971</c:v>
                </c:pt>
                <c:pt idx="3">
                  <c:v>36.797318755138427</c:v>
                </c:pt>
                <c:pt idx="4">
                  <c:v>27.299992551929861</c:v>
                </c:pt>
                <c:pt idx="5">
                  <c:v>17.802666348721299</c:v>
                </c:pt>
                <c:pt idx="6">
                  <c:v>8.3053401455127496</c:v>
                </c:pt>
                <c:pt idx="7">
                  <c:v>-0.24225343737495747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C9C-4D35-BCFB-B50E4E4E1045}"/>
            </c:ext>
          </c:extLst>
        </c:ser>
        <c:ser>
          <c:idx val="1"/>
          <c:order val="1"/>
          <c:spPr>
            <a:ln w="19050" cap="rnd">
              <a:solidFill>
                <a:schemeClr val="accent1"/>
              </a:solidFill>
              <a:prstDash val="sysDot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prstDash val="sysDot"/>
              </a:ln>
              <a:effectLst/>
            </c:spPr>
          </c:marker>
          <c:xVal>
            <c:numRef>
              <c:f>'Sc cible'!$B$196:$B$203</c:f>
              <c:numCache>
                <c:formatCode>General</c:formatCode>
                <c:ptCount val="8"/>
                <c:pt idx="0">
                  <c:v>7</c:v>
                </c:pt>
                <c:pt idx="1">
                  <c:v>8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14</c:v>
                </c:pt>
              </c:numCache>
            </c:numRef>
          </c:xVal>
          <c:yVal>
            <c:numRef>
              <c:f>'Sc cible'!$C$196:$C$203</c:f>
              <c:numCache>
                <c:formatCode>General</c:formatCode>
                <c:ptCount val="8"/>
                <c:pt idx="0">
                  <c:v>-1.1919860576958081</c:v>
                </c:pt>
                <c:pt idx="1">
                  <c:v>-10.68931226090436</c:v>
                </c:pt>
                <c:pt idx="2">
                  <c:v>-20.186638464112924</c:v>
                </c:pt>
                <c:pt idx="3">
                  <c:v>-29.683964667321487</c:v>
                </c:pt>
                <c:pt idx="4">
                  <c:v>-39.181290870530042</c:v>
                </c:pt>
                <c:pt idx="5">
                  <c:v>-48.678617073738586</c:v>
                </c:pt>
                <c:pt idx="6">
                  <c:v>-58.175943276947159</c:v>
                </c:pt>
                <c:pt idx="7">
                  <c:v>-67.67326948015571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C9C-4D35-BCFB-B50E4E4E10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4807008"/>
        <c:axId val="1677994624"/>
      </c:scatterChart>
      <c:valAx>
        <c:axId val="1864807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900"/>
                  <a:t>Electricity consumption dedicated to French usage in global data centres (TWh)</a:t>
                </a:r>
              </a:p>
            </c:rich>
          </c:tx>
          <c:layout>
            <c:manualLayout>
              <c:xMode val="edge"/>
              <c:yMode val="edge"/>
              <c:x val="0.18012591225528174"/>
              <c:y val="0.899374894029735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77994624"/>
        <c:crosses val="autoZero"/>
        <c:crossBetween val="midCat"/>
      </c:valAx>
      <c:valAx>
        <c:axId val="1677994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900"/>
                  <a:t>Electricity consumption dedicated to data centres in France</a:t>
                </a:r>
              </a:p>
              <a:p>
                <a:pPr>
                  <a:defRPr sz="900"/>
                </a:pPr>
                <a:r>
                  <a:rPr lang="fr-FR" sz="900"/>
                  <a:t> for French use (TWh)</a:t>
                </a:r>
              </a:p>
            </c:rich>
          </c:tx>
          <c:layout>
            <c:manualLayout>
              <c:xMode val="edge"/>
              <c:yMode val="edge"/>
              <c:x val="1.1092138214327895E-2"/>
              <c:y val="0.1732255702313471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648070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/>
              <a:t>Consommation d'électricité</a:t>
            </a:r>
            <a:r>
              <a:rPr lang="fr-FR" sz="1800" baseline="0"/>
              <a:t> des centres de données en France selon les scénarios</a:t>
            </a:r>
            <a:endParaRPr lang="fr-FR" sz="18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Dashboard!$A$4</c:f>
              <c:strCache>
                <c:ptCount val="1"/>
                <c:pt idx="0">
                  <c:v>Total (pour le graphe)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Dashboard!$B$3:$N$3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Dashboard!$B$4:$N$4</c:f>
              <c:numCache>
                <c:formatCode>0.00</c:formatCode>
                <c:ptCount val="13"/>
                <c:pt idx="0">
                  <c:v>8.335513605442177</c:v>
                </c:pt>
                <c:pt idx="1">
                  <c:v>11.629626874197447</c:v>
                </c:pt>
                <c:pt idx="2">
                  <c:v>12.437999071747397</c:v>
                </c:pt>
                <c:pt idx="3">
                  <c:v>13.106278304188379</c:v>
                </c:pt>
                <c:pt idx="4">
                  <c:v>13.836102481442399</c:v>
                </c:pt>
                <c:pt idx="5">
                  <c:v>16.034792322630157</c:v>
                </c:pt>
                <c:pt idx="6">
                  <c:v>19.369261363518589</c:v>
                </c:pt>
                <c:pt idx="7">
                  <c:v>23.306278331848475</c:v>
                </c:pt>
                <c:pt idx="8">
                  <c:v>27.826293022769988</c:v>
                </c:pt>
                <c:pt idx="9">
                  <c:v>32.937127177886502</c:v>
                </c:pt>
                <c:pt idx="10">
                  <c:v>37.174581547426079</c:v>
                </c:pt>
                <c:pt idx="11">
                  <c:v>41.244130379261527</c:v>
                </c:pt>
                <c:pt idx="12">
                  <c:v>45.114233407207493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35-A444-A445-33512C46E0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3657664"/>
        <c:axId val="393591904"/>
      </c:barChart>
      <c:catAx>
        <c:axId val="39365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3591904"/>
        <c:crosses val="autoZero"/>
        <c:auto val="1"/>
        <c:lblAlgn val="ctr"/>
        <c:lblOffset val="100"/>
        <c:noMultiLvlLbl val="0"/>
      </c:catAx>
      <c:valAx>
        <c:axId val="393591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TWh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936576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400"/>
              <a:t>Empreinte des centres</a:t>
            </a:r>
            <a:r>
              <a:rPr lang="fr-FR" sz="1400" baseline="0"/>
              <a:t> de donneés dans les scénarios "nouveau tendanciel" et "cible" </a:t>
            </a:r>
            <a:r>
              <a:rPr lang="fr-FR" sz="14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</a:rPr>
              <a:t>- avec décarbonation du mix électrique mondial</a:t>
            </a:r>
          </a:p>
          <a:p>
            <a:pPr>
              <a:defRPr/>
            </a:pPr>
            <a:r>
              <a:rPr lang="fr-FR" sz="11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</a:rPr>
              <a:t>Hypothèse : facteur d'émission mondial de l'électricité du scénario STEPS (AIE)</a:t>
            </a:r>
            <a:endParaRPr lang="fr-FR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8.8390181446956789E-2"/>
          <c:y val="0.21090840513562406"/>
          <c:w val="0.59099199816561776"/>
          <c:h val="0.69408333950733547"/>
        </c:manualLayout>
      </c:layout>
      <c:lineChart>
        <c:grouping val="standard"/>
        <c:varyColors val="0"/>
        <c:ser>
          <c:idx val="0"/>
          <c:order val="0"/>
          <c:tx>
            <c:strRef>
              <c:f>'[1]Sc cible'!$B$143</c:f>
              <c:strCache>
                <c:ptCount val="1"/>
                <c:pt idx="0">
                  <c:v>Scenario nouveau tendanciel - avec annonces Sommet IA</c:v>
                </c:pt>
              </c:strCache>
            </c:strRef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dPt>
            <c:idx val="3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noFill/>
                </a:ln>
                <a:effectLst/>
              </c:spPr>
            </c:marker>
            <c:bubble3D val="0"/>
            <c:spPr>
              <a:ln w="19050" cap="rnd">
                <a:solidFill>
                  <a:schemeClr val="accent2"/>
                </a:solidFill>
                <a:prstDash val="solid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D57F-D547-A326-3C38AC4A40AB}"/>
              </c:ext>
            </c:extLst>
          </c:dPt>
          <c:cat>
            <c:strRef>
              <c:f>'[1]Sc cible'!$C$139:$F$139</c:f>
              <c:strCache>
                <c:ptCount val="4"/>
                <c:pt idx="0">
                  <c:v>2020</c:v>
                </c:pt>
                <c:pt idx="1">
                  <c:v>2025</c:v>
                </c:pt>
                <c:pt idx="2">
                  <c:v>2030</c:v>
                </c:pt>
                <c:pt idx="3">
                  <c:v>2035</c:v>
                </c:pt>
              </c:strCache>
            </c:strRef>
          </c:cat>
          <c:val>
            <c:numRef>
              <c:f>'[1]Sc cible'!$C$143:$F$143</c:f>
              <c:numCache>
                <c:formatCode>General</c:formatCode>
                <c:ptCount val="4"/>
                <c:pt idx="0">
                  <c:v>10.174248839342404</c:v>
                </c:pt>
                <c:pt idx="2">
                  <c:v>13.951900021104748</c:v>
                </c:pt>
                <c:pt idx="3">
                  <c:v>17.066789728900925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57F-D547-A326-3C38AC4A40AB}"/>
            </c:ext>
          </c:extLst>
        </c:ser>
        <c:ser>
          <c:idx val="2"/>
          <c:order val="1"/>
          <c:tx>
            <c:strRef>
              <c:f>'[1]Sc cible'!$B$155</c:f>
              <c:strCache>
                <c:ptCount val="1"/>
                <c:pt idx="0">
                  <c:v>Scenario cible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4"/>
                </a:solidFill>
                <a:ln w="9525">
                  <a:noFill/>
                </a:ln>
                <a:effectLst/>
              </c:spPr>
            </c:marker>
            <c:bubble3D val="0"/>
            <c:spPr>
              <a:ln w="19050" cap="rnd">
                <a:solidFill>
                  <a:schemeClr val="accent4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D57F-D547-A326-3C38AC4A40AB}"/>
              </c:ext>
            </c:extLst>
          </c:dPt>
          <c:val>
            <c:numRef>
              <c:f>'[1]Sc cible'!$C$155:$F$155</c:f>
              <c:numCache>
                <c:formatCode>General</c:formatCode>
                <c:ptCount val="4"/>
                <c:pt idx="0">
                  <c:v>10.174248839342404</c:v>
                </c:pt>
                <c:pt idx="2">
                  <c:v>5.7143261875396831</c:v>
                </c:pt>
                <c:pt idx="3">
                  <c:v>4.5401008616383223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57F-D547-A326-3C38AC4A4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0606927"/>
        <c:axId val="640608639"/>
      </c:lineChart>
      <c:catAx>
        <c:axId val="640606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40608639"/>
        <c:crosses val="autoZero"/>
        <c:auto val="1"/>
        <c:lblAlgn val="ctr"/>
        <c:lblOffset val="100"/>
        <c:noMultiLvlLbl val="0"/>
      </c:catAx>
      <c:valAx>
        <c:axId val="640608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MtCO2e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406069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603117928944723"/>
          <c:y val="0.43106467515267455"/>
          <c:w val="0.31348158685335775"/>
          <c:h val="0.337218023598716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Consommation des centres de</a:t>
            </a:r>
            <a:r>
              <a:rPr lang="fr-FR" baseline="0"/>
              <a:t> données en France et à l'étranger des usages français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Graphiques!$B$60</c:f>
              <c:strCache>
                <c:ptCount val="1"/>
                <c:pt idx="0">
                  <c:v>Conso Fr Nouveau tendanciel +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cat>
            <c:numRef>
              <c:f>Graphiques!$C$59:$E$59</c:f>
              <c:numCache>
                <c:formatCode>0</c:formatCode>
                <c:ptCount val="3"/>
                <c:pt idx="0">
                  <c:v>2020</c:v>
                </c:pt>
                <c:pt idx="1">
                  <c:v>2030</c:v>
                </c:pt>
                <c:pt idx="2">
                  <c:v>2035</c:v>
                </c:pt>
              </c:numCache>
            </c:numRef>
          </c:cat>
          <c:val>
            <c:numRef>
              <c:f>Graphiques!$C$60:$E$60</c:f>
              <c:numCache>
                <c:formatCode>0.0</c:formatCode>
                <c:ptCount val="3"/>
                <c:pt idx="0">
                  <c:v>8.335513605442177</c:v>
                </c:pt>
                <c:pt idx="1">
                  <c:v>23.306278331848475</c:v>
                </c:pt>
                <c:pt idx="2">
                  <c:v>45.114233407207493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6B-9044-8CD1-3EA51EEB2E7B}"/>
            </c:ext>
          </c:extLst>
        </c:ser>
        <c:ser>
          <c:idx val="1"/>
          <c:order val="1"/>
          <c:tx>
            <c:strRef>
              <c:f>Graphiques!$B$61</c:f>
              <c:strCache>
                <c:ptCount val="1"/>
                <c:pt idx="0">
                  <c:v>Conso Etr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2"/>
              </a:solidFill>
              <a:ln w="9525">
                <a:noFill/>
              </a:ln>
              <a:effectLst/>
            </c:spPr>
          </c:marker>
          <c:cat>
            <c:numRef>
              <c:f>Graphiques!$C$59:$E$59</c:f>
              <c:numCache>
                <c:formatCode>0</c:formatCode>
                <c:ptCount val="3"/>
                <c:pt idx="0">
                  <c:v>2020</c:v>
                </c:pt>
                <c:pt idx="1">
                  <c:v>2030</c:v>
                </c:pt>
                <c:pt idx="2">
                  <c:v>2035</c:v>
                </c:pt>
              </c:numCache>
            </c:numRef>
          </c:cat>
          <c:val>
            <c:numRef>
              <c:f>Graphiques!$C$61:$E$61</c:f>
              <c:numCache>
                <c:formatCode>0.0</c:formatCode>
                <c:ptCount val="3"/>
                <c:pt idx="0">
                  <c:v>13.33</c:v>
                </c:pt>
                <c:pt idx="1">
                  <c:v>30.205684851759525</c:v>
                </c:pt>
                <c:pt idx="2">
                  <c:v>52.127539830825611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6B-9044-8CD1-3EA51EEB2E7B}"/>
            </c:ext>
          </c:extLst>
        </c:ser>
        <c:ser>
          <c:idx val="2"/>
          <c:order val="2"/>
          <c:tx>
            <c:strRef>
              <c:f>Graphiques!$B$62</c:f>
              <c:strCache>
                <c:ptCount val="1"/>
                <c:pt idx="0">
                  <c:v>Conso Fr cible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noFill/>
              </a:ln>
              <a:effectLst/>
            </c:spPr>
          </c:marker>
          <c:cat>
            <c:numRef>
              <c:f>Graphiques!$C$59:$E$59</c:f>
              <c:numCache>
                <c:formatCode>0</c:formatCode>
                <c:ptCount val="3"/>
                <c:pt idx="0">
                  <c:v>2020</c:v>
                </c:pt>
                <c:pt idx="1">
                  <c:v>2030</c:v>
                </c:pt>
                <c:pt idx="2">
                  <c:v>2035</c:v>
                </c:pt>
              </c:numCache>
            </c:numRef>
          </c:cat>
          <c:val>
            <c:numRef>
              <c:f>Graphiques!$C$62:$E$62</c:f>
              <c:numCache>
                <c:formatCode>0.0</c:formatCode>
                <c:ptCount val="3"/>
                <c:pt idx="0">
                  <c:v>8.335513605442177</c:v>
                </c:pt>
                <c:pt idx="1">
                  <c:v>9.2958843520260448</c:v>
                </c:pt>
                <c:pt idx="2">
                  <c:v>9.7760697253179778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56B-9044-8CD1-3EA51EEB2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8126304"/>
        <c:axId val="1678097600"/>
      </c:lineChart>
      <c:catAx>
        <c:axId val="167812630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78097600"/>
        <c:crosses val="autoZero"/>
        <c:auto val="1"/>
        <c:lblAlgn val="ctr"/>
        <c:lblOffset val="100"/>
        <c:noMultiLvlLbl val="0"/>
      </c:catAx>
      <c:valAx>
        <c:axId val="167809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TWh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78126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400"/>
              <a:t>Empreinte des </a:t>
            </a:r>
            <a:r>
              <a:rPr lang="fr-FR" sz="1400" b="0" i="0" u="none" strike="noStrike" kern="1200" spc="0" baseline="0">
                <a:solidFill>
                  <a:srgbClr val="000000">
                    <a:lumMod val="65000"/>
                    <a:lumOff val="35000"/>
                  </a:srgbClr>
                </a:solidFill>
              </a:rPr>
              <a:t>centres de données en France et à l'étranger des usages français</a:t>
            </a:r>
            <a:endParaRPr lang="fr-FR" sz="14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Graphiques!$B$69</c:f>
              <c:strCache>
                <c:ptCount val="1"/>
                <c:pt idx="0">
                  <c:v>Empreinte Fr Nouveau tendanciel +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cat>
            <c:numRef>
              <c:f>Graphiques!$C$59:$E$59</c:f>
              <c:numCache>
                <c:formatCode>0</c:formatCode>
                <c:ptCount val="3"/>
                <c:pt idx="0">
                  <c:v>2020</c:v>
                </c:pt>
                <c:pt idx="1">
                  <c:v>2030</c:v>
                </c:pt>
                <c:pt idx="2">
                  <c:v>2035</c:v>
                </c:pt>
              </c:numCache>
            </c:numRef>
          </c:cat>
          <c:val>
            <c:numRef>
              <c:f>Graphiques!$C$69:$E$69</c:f>
              <c:numCache>
                <c:formatCode>0.0</c:formatCode>
                <c:ptCount val="3"/>
                <c:pt idx="0">
                  <c:v>0.78992883934240365</c:v>
                </c:pt>
                <c:pt idx="1">
                  <c:v>1.3863351227727869</c:v>
                </c:pt>
                <c:pt idx="2">
                  <c:v>1.8455480982998467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29-2240-81C2-F6C50B16C512}"/>
            </c:ext>
          </c:extLst>
        </c:ser>
        <c:ser>
          <c:idx val="1"/>
          <c:order val="1"/>
          <c:tx>
            <c:strRef>
              <c:f>Graphiques!$B$72</c:f>
              <c:strCache>
                <c:ptCount val="1"/>
                <c:pt idx="0">
                  <c:v>Empreinte Etr</c:v>
                </c:pt>
              </c:strCache>
            </c:strRef>
          </c:tx>
          <c:spPr>
            <a:ln w="28575" cap="rnd">
              <a:solidFill>
                <a:schemeClr val="tx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2"/>
              </a:solidFill>
              <a:ln w="9525">
                <a:solidFill>
                  <a:schemeClr val="tx2"/>
                </a:solidFill>
              </a:ln>
              <a:effectLst/>
            </c:spPr>
          </c:marker>
          <c:cat>
            <c:numRef>
              <c:f>Graphiques!$C$59:$E$59</c:f>
              <c:numCache>
                <c:formatCode>0</c:formatCode>
                <c:ptCount val="3"/>
                <c:pt idx="0">
                  <c:v>2020</c:v>
                </c:pt>
                <c:pt idx="1">
                  <c:v>2030</c:v>
                </c:pt>
                <c:pt idx="2">
                  <c:v>2035</c:v>
                </c:pt>
              </c:numCache>
            </c:numRef>
          </c:cat>
          <c:val>
            <c:numRef>
              <c:f>Graphiques!$C$72:$E$72</c:f>
              <c:numCache>
                <c:formatCode>0.0</c:formatCode>
                <c:ptCount val="3"/>
                <c:pt idx="0">
                  <c:v>9.3843200000000007</c:v>
                </c:pt>
                <c:pt idx="1">
                  <c:v>18.445604882807817</c:v>
                </c:pt>
                <c:pt idx="2">
                  <c:v>31.832550990024174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29-2240-81C2-F6C50B16C512}"/>
            </c:ext>
          </c:extLst>
        </c:ser>
        <c:ser>
          <c:idx val="2"/>
          <c:order val="2"/>
          <c:tx>
            <c:strRef>
              <c:f>Graphiques!$B$71</c:f>
              <c:strCache>
                <c:ptCount val="1"/>
                <c:pt idx="0">
                  <c:v>Empreinte totale cible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Graphiques!$C$59:$E$59</c:f>
              <c:numCache>
                <c:formatCode>0</c:formatCode>
                <c:ptCount val="3"/>
                <c:pt idx="0">
                  <c:v>2020</c:v>
                </c:pt>
                <c:pt idx="1">
                  <c:v>2030</c:v>
                </c:pt>
                <c:pt idx="2">
                  <c:v>2035</c:v>
                </c:pt>
              </c:numCache>
            </c:numRef>
          </c:cat>
          <c:val>
            <c:numRef>
              <c:f>Graphiques!$C$71:$E$71</c:f>
              <c:numCache>
                <c:formatCode>0.0</c:formatCode>
                <c:ptCount val="3"/>
                <c:pt idx="0">
                  <c:v>10.174248839342404</c:v>
                </c:pt>
                <c:pt idx="1">
                  <c:v>5.7143261875396831</c:v>
                </c:pt>
                <c:pt idx="2">
                  <c:v>4.5401008616383223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29-2240-81C2-F6C50B16C5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78126304"/>
        <c:axId val="1678097600"/>
      </c:lineChart>
      <c:catAx>
        <c:axId val="1678126304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78097600"/>
        <c:crosses val="autoZero"/>
        <c:auto val="1"/>
        <c:lblAlgn val="ctr"/>
        <c:lblOffset val="100"/>
        <c:noMultiLvlLbl val="0"/>
      </c:catAx>
      <c:valAx>
        <c:axId val="1678097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TWh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78126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/>
              <a:t>Rapport</a:t>
            </a:r>
            <a:r>
              <a:rPr lang="fr-FR" sz="1200" baseline="0"/>
              <a:t> entre la puissance installée et la puissance maximale théorique annoncée</a:t>
            </a:r>
            <a:endParaRPr lang="fr-FR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5085071602891745"/>
          <c:y val="0.30096533244787388"/>
          <c:w val="0.81319473223741756"/>
          <c:h val="0.58592218695252463"/>
        </c:manualLayout>
      </c:layout>
      <c:lineChart>
        <c:grouping val="standard"/>
        <c:varyColors val="0"/>
        <c:ser>
          <c:idx val="0"/>
          <c:order val="0"/>
          <c:tx>
            <c:strRef>
              <c:f>Modelisation!$B$57</c:f>
              <c:strCache>
                <c:ptCount val="1"/>
                <c:pt idx="0">
                  <c:v>P/Pmax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Modelisation!$C$55:$R$55</c:f>
              <c:numCache>
                <c:formatCode>General</c:formatCode>
                <c:ptCount val="1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</c:numCache>
            </c:numRef>
          </c:cat>
          <c:val>
            <c:numRef>
              <c:f>Modelisation!$C$57:$R$57</c:f>
              <c:numCache>
                <c:formatCode>0.00</c:formatCode>
                <c:ptCount val="16"/>
                <c:pt idx="0">
                  <c:v>0</c:v>
                </c:pt>
                <c:pt idx="1">
                  <c:v>0.06</c:v>
                </c:pt>
                <c:pt idx="2">
                  <c:v>0.12</c:v>
                </c:pt>
                <c:pt idx="3">
                  <c:v>0.18</c:v>
                </c:pt>
                <c:pt idx="4">
                  <c:v>0.24</c:v>
                </c:pt>
                <c:pt idx="5">
                  <c:v>0.3</c:v>
                </c:pt>
                <c:pt idx="6">
                  <c:v>0.36</c:v>
                </c:pt>
                <c:pt idx="7">
                  <c:v>0.42000000000000004</c:v>
                </c:pt>
                <c:pt idx="8">
                  <c:v>0.48</c:v>
                </c:pt>
                <c:pt idx="9">
                  <c:v>0.53999999999999992</c:v>
                </c:pt>
                <c:pt idx="10">
                  <c:v>0.6</c:v>
                </c:pt>
                <c:pt idx="11">
                  <c:v>0.6</c:v>
                </c:pt>
                <c:pt idx="12">
                  <c:v>0.6</c:v>
                </c:pt>
                <c:pt idx="13">
                  <c:v>0.6</c:v>
                </c:pt>
                <c:pt idx="14">
                  <c:v>0.6</c:v>
                </c:pt>
                <c:pt idx="15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64-7C48-A69B-95C6900955F1}"/>
            </c:ext>
          </c:extLst>
        </c:ser>
        <c:ser>
          <c:idx val="1"/>
          <c:order val="1"/>
          <c:tx>
            <c:strRef>
              <c:f>Modelisation!$B$58</c:f>
              <c:strCache>
                <c:ptCount val="1"/>
                <c:pt idx="0">
                  <c:v>P/Pmax Annonces sommet de l'IA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Modelisation!$C$58:$R$58</c:f>
              <c:numCache>
                <c:formatCode>0.00</c:formatCode>
                <c:ptCount val="16"/>
                <c:pt idx="0">
                  <c:v>0</c:v>
                </c:pt>
                <c:pt idx="1">
                  <c:v>0.13999999999999999</c:v>
                </c:pt>
                <c:pt idx="2">
                  <c:v>0.27999999999999997</c:v>
                </c:pt>
                <c:pt idx="3">
                  <c:v>0.41999999999999993</c:v>
                </c:pt>
                <c:pt idx="4">
                  <c:v>0.55999999999999994</c:v>
                </c:pt>
                <c:pt idx="5">
                  <c:v>0.7</c:v>
                </c:pt>
                <c:pt idx="6">
                  <c:v>0.7</c:v>
                </c:pt>
                <c:pt idx="7">
                  <c:v>0.7</c:v>
                </c:pt>
                <c:pt idx="8">
                  <c:v>0.7</c:v>
                </c:pt>
                <c:pt idx="9">
                  <c:v>0.7</c:v>
                </c:pt>
                <c:pt idx="10">
                  <c:v>0.7</c:v>
                </c:pt>
                <c:pt idx="11">
                  <c:v>0.7</c:v>
                </c:pt>
                <c:pt idx="12">
                  <c:v>0.7</c:v>
                </c:pt>
                <c:pt idx="13">
                  <c:v>0.7</c:v>
                </c:pt>
                <c:pt idx="14">
                  <c:v>0.7</c:v>
                </c:pt>
                <c:pt idx="15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0C-924E-8CEB-339CA02DD6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4589056"/>
        <c:axId val="1724689184"/>
      </c:lineChart>
      <c:catAx>
        <c:axId val="172458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4689184"/>
        <c:crosses val="autoZero"/>
        <c:auto val="1"/>
        <c:lblAlgn val="ctr"/>
        <c:lblOffset val="100"/>
        <c:noMultiLvlLbl val="0"/>
      </c:catAx>
      <c:valAx>
        <c:axId val="1724689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458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Empreinte des centres</a:t>
            </a:r>
            <a:r>
              <a:rPr lang="fr-FR" baseline="0"/>
              <a:t> de données dans les scénarios "nouveau tendanciel" et "cible" - sans décarbonation du mix électrique mondial</a:t>
            </a:r>
          </a:p>
          <a:p>
            <a:pPr>
              <a:defRPr/>
            </a:pPr>
            <a:r>
              <a:rPr lang="fr-FR" sz="1100" baseline="0"/>
              <a:t>Hypothèse : facteur d'émission mondial de l'électricité constant égal à celui de 2023 </a:t>
            </a:r>
            <a:endParaRPr lang="fr-FR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8.8390181446956789E-2"/>
          <c:y val="0.2054653347862089"/>
          <c:w val="0.59099199816561776"/>
          <c:h val="0.69952641395507997"/>
        </c:manualLayout>
      </c:layout>
      <c:lineChart>
        <c:grouping val="standard"/>
        <c:varyColors val="0"/>
        <c:ser>
          <c:idx val="0"/>
          <c:order val="0"/>
          <c:tx>
            <c:strRef>
              <c:f>'Sc cible'!$B$149</c:f>
              <c:strCache>
                <c:ptCount val="1"/>
                <c:pt idx="0">
                  <c:v>Scenario nouveau tendanciel - avec annonces Sommet IA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cat>
            <c:numRef>
              <c:f>'Sc cible'!$C$145:$F$145</c:f>
              <c:numCache>
                <c:formatCode>General</c:formatCode>
                <c:ptCount val="4"/>
                <c:pt idx="0" formatCode="0">
                  <c:v>2020</c:v>
                </c:pt>
                <c:pt idx="1">
                  <c:v>2025</c:v>
                </c:pt>
                <c:pt idx="2" formatCode="0">
                  <c:v>2030</c:v>
                </c:pt>
                <c:pt idx="3" formatCode="0">
                  <c:v>2035</c:v>
                </c:pt>
              </c:numCache>
            </c:numRef>
          </c:cat>
          <c:val>
            <c:numRef>
              <c:f>'Sc cible'!$C$170:$F$170</c:f>
              <c:numCache>
                <c:formatCode>General</c:formatCode>
                <c:ptCount val="4"/>
                <c:pt idx="0" formatCode="0.0">
                  <c:v>10.174248839342404</c:v>
                </c:pt>
                <c:pt idx="2" formatCode="0.0">
                  <c:v>19.831940005580606</c:v>
                </c:pt>
                <c:pt idx="3" formatCode="0.0">
                  <c:v>33.678099088324018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B9-3246-BD00-BD89D5F0AEDC}"/>
            </c:ext>
          </c:extLst>
        </c:ser>
        <c:ser>
          <c:idx val="2"/>
          <c:order val="1"/>
          <c:tx>
            <c:strRef>
              <c:f>'Sc cible'!$B$161</c:f>
              <c:strCache>
                <c:ptCount val="1"/>
                <c:pt idx="0">
                  <c:v>Scenario cible</c:v>
                </c:pt>
              </c:strCache>
            </c:strRef>
          </c:tx>
          <c:spPr>
            <a:ln w="2222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noFill/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4"/>
                </a:solidFill>
                <a:ln w="9525">
                  <a:noFill/>
                </a:ln>
                <a:effectLst/>
              </c:spPr>
            </c:marker>
            <c:bubble3D val="0"/>
            <c:spPr>
              <a:ln w="22225" cap="rnd">
                <a:solidFill>
                  <a:schemeClr val="accent4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ABB9-3246-BD00-BD89D5F0AEDC}"/>
              </c:ext>
            </c:extLst>
          </c:dPt>
          <c:dPt>
            <c:idx val="3"/>
            <c:marker>
              <c:symbol val="circle"/>
              <c:size val="5"/>
              <c:spPr>
                <a:solidFill>
                  <a:schemeClr val="accent4"/>
                </a:solidFill>
                <a:ln w="9525">
                  <a:noFill/>
                </a:ln>
                <a:effectLst/>
              </c:spPr>
            </c:marker>
            <c:bubble3D val="0"/>
            <c:spPr>
              <a:ln w="19050" cap="rnd">
                <a:solidFill>
                  <a:schemeClr val="accent4"/>
                </a:solidFill>
                <a:prstDash val="dash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ABB9-3246-BD00-BD89D5F0AEDC}"/>
              </c:ext>
            </c:extLst>
          </c:dPt>
          <c:val>
            <c:numRef>
              <c:f>'Sc cible'!$C$161:$F$161</c:f>
              <c:numCache>
                <c:formatCode>General</c:formatCode>
                <c:ptCount val="4"/>
                <c:pt idx="0" formatCode="0.0">
                  <c:v>10.174248839342404</c:v>
                </c:pt>
                <c:pt idx="2" formatCode="0.0">
                  <c:v>5.7143261875396831</c:v>
                </c:pt>
                <c:pt idx="3" formatCode="0.0">
                  <c:v>4.5401008616383223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BB9-3246-BD00-BD89D5F0A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0606927"/>
        <c:axId val="640608639"/>
      </c:lineChart>
      <c:catAx>
        <c:axId val="640606927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40608639"/>
        <c:crosses val="autoZero"/>
        <c:auto val="1"/>
        <c:lblAlgn val="ctr"/>
        <c:lblOffset val="100"/>
        <c:noMultiLvlLbl val="0"/>
      </c:catAx>
      <c:valAx>
        <c:axId val="6406086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MtCO2e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406069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603117928944723"/>
          <c:y val="0.43106467515267455"/>
          <c:w val="0.31348158685335775"/>
          <c:h val="0.337218023598716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/>
              <a:t>Consommation totale d'électricité des centres de données en France</a:t>
            </a:r>
            <a:r>
              <a:rPr lang="fr-FR" sz="1200" baseline="0"/>
              <a:t> entre 2020 et 2035 pour les trois scénarios (TWh)</a:t>
            </a:r>
            <a:endParaRPr lang="fr-FR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0645302326488555"/>
          <c:y val="0.20179027609885095"/>
          <c:w val="0.56552410139290799"/>
          <c:h val="0.72593743664918975"/>
        </c:manualLayout>
      </c:layout>
      <c:lineChart>
        <c:grouping val="standard"/>
        <c:varyColors val="0"/>
        <c:ser>
          <c:idx val="6"/>
          <c:order val="0"/>
          <c:tx>
            <c:strRef>
              <c:f>'Sc ancien tendanciel'!$B$9</c:f>
              <c:strCache>
                <c:ptCount val="1"/>
                <c:pt idx="0">
                  <c:v>Scénario "ancien tendanciel"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1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B23C-483F-95C8-43BC01183D2B}"/>
              </c:ext>
            </c:extLst>
          </c:dPt>
          <c:dLbls>
            <c:dLbl>
              <c:idx val="0"/>
              <c:layout>
                <c:manualLayout>
                  <c:x val="-5.2626827546503559E-2"/>
                  <c:y val="-6.6000889193081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23C-483F-95C8-43BC01183D2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23C-483F-95C8-43BC01183D2B}"/>
                </c:ext>
              </c:extLst>
            </c:dLbl>
            <c:dLbl>
              <c:idx val="12"/>
              <c:layout>
                <c:manualLayout>
                  <c:x val="3.7590591104645398E-3"/>
                  <c:y val="-1.98002667579247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23C-483F-95C8-43BC01183D2B}"/>
                </c:ext>
              </c:extLst>
            </c:dLbl>
            <c:spPr>
              <a:noFill/>
              <a:ln>
                <a:noFill/>
                <a:prstDash val="sysDot"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cat>
            <c:numRef>
              <c:f>'Sc nouveau tendanciel'!$C$4:$O$4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ancien tendanciel'!$C$9:$O$9</c:f>
              <c:numCache>
                <c:formatCode>0.0</c:formatCode>
                <c:ptCount val="13"/>
                <c:pt idx="0">
                  <c:v>11.59</c:v>
                </c:pt>
                <c:pt idx="7">
                  <c:v>16.400000000000002</c:v>
                </c:pt>
                <c:pt idx="12">
                  <c:v>22.040000000000003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23C-483F-95C8-43BC01183D2B}"/>
            </c:ext>
          </c:extLst>
        </c:ser>
        <c:ser>
          <c:idx val="3"/>
          <c:order val="1"/>
          <c:tx>
            <c:strRef>
              <c:f>'Sc nouveau tendanciel'!$B$9</c:f>
              <c:strCache>
                <c:ptCount val="1"/>
                <c:pt idx="0">
                  <c:v>Scénario "nouveau tendanciel" - avec annonces Sommet de l'IA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Dot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5853003029446455E-2"/>
                  <c:y val="3.90312108850537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23C-483F-95C8-43BC01183D2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'Sc nouveau tendanciel'!$C$4:$O$4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nouveau tendanciel'!$C$9:$O$9</c:f>
              <c:numCache>
                <c:formatCode>0.0</c:formatCode>
                <c:ptCount val="13"/>
                <c:pt idx="0">
                  <c:v>8.335513605442177</c:v>
                </c:pt>
                <c:pt idx="1">
                  <c:v>11.629626874197447</c:v>
                </c:pt>
                <c:pt idx="2">
                  <c:v>12.437999071747397</c:v>
                </c:pt>
                <c:pt idx="3">
                  <c:v>13.106278304188379</c:v>
                </c:pt>
                <c:pt idx="4">
                  <c:v>13.836102481442399</c:v>
                </c:pt>
                <c:pt idx="5">
                  <c:v>16.034792322630157</c:v>
                </c:pt>
                <c:pt idx="6">
                  <c:v>19.369261363518589</c:v>
                </c:pt>
                <c:pt idx="7">
                  <c:v>23.306278331848475</c:v>
                </c:pt>
                <c:pt idx="8">
                  <c:v>27.826293022769988</c:v>
                </c:pt>
                <c:pt idx="9">
                  <c:v>32.937127177886502</c:v>
                </c:pt>
                <c:pt idx="10">
                  <c:v>37.174581547426079</c:v>
                </c:pt>
                <c:pt idx="11">
                  <c:v>41.244130379261527</c:v>
                </c:pt>
                <c:pt idx="12">
                  <c:v>45.114233407207493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23C-483F-95C8-43BC01183D2B}"/>
            </c:ext>
          </c:extLst>
        </c:ser>
        <c:ser>
          <c:idx val="5"/>
          <c:order val="2"/>
          <c:tx>
            <c:strRef>
              <c:f>'Sc nouveau tendanciel'!$B$10</c:f>
              <c:strCache>
                <c:ptCount val="1"/>
                <c:pt idx="0">
                  <c:v>Scénario "nouveau tendanciel" - sans annonces Sommet de l'IA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2"/>
              <c:layout>
                <c:manualLayout>
                  <c:x val="-1.3621736017255687E-2"/>
                  <c:y val="-5.97529373416310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23C-483F-95C8-43BC01183D2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'Sc nouveau tendanciel'!$C$4:$O$4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nouveau tendanciel'!$C$10:$O$10</c:f>
              <c:numCache>
                <c:formatCode>0.0</c:formatCode>
                <c:ptCount val="13"/>
                <c:pt idx="0">
                  <c:v>8.335513605442177</c:v>
                </c:pt>
                <c:pt idx="1">
                  <c:v>11.629626874197447</c:v>
                </c:pt>
                <c:pt idx="2">
                  <c:v>12.437999071747397</c:v>
                </c:pt>
                <c:pt idx="3">
                  <c:v>13.106278304188379</c:v>
                </c:pt>
                <c:pt idx="4">
                  <c:v>13.836102481442399</c:v>
                </c:pt>
                <c:pt idx="5">
                  <c:v>14.930276322630156</c:v>
                </c:pt>
                <c:pt idx="6">
                  <c:v>16.792057363518591</c:v>
                </c:pt>
                <c:pt idx="7">
                  <c:v>18.888214331848477</c:v>
                </c:pt>
                <c:pt idx="8">
                  <c:v>21.199197022769987</c:v>
                </c:pt>
                <c:pt idx="9">
                  <c:v>23.732827177886506</c:v>
                </c:pt>
                <c:pt idx="10">
                  <c:v>26.497593547426085</c:v>
                </c:pt>
                <c:pt idx="11">
                  <c:v>29.462626379261529</c:v>
                </c:pt>
                <c:pt idx="12">
                  <c:v>32.596385407207492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23C-483F-95C8-43BC01183D2B}"/>
            </c:ext>
          </c:extLst>
        </c:ser>
        <c:ser>
          <c:idx val="7"/>
          <c:order val="3"/>
          <c:tx>
            <c:strRef>
              <c:f>'Sc cible'!$B$9</c:f>
              <c:strCache>
                <c:ptCount val="1"/>
                <c:pt idx="0">
                  <c:v>Scénario "cible"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23C-483F-95C8-43BC01183D2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23C-483F-95C8-43BC01183D2B}"/>
                </c:ext>
              </c:extLst>
            </c:dLbl>
            <c:dLbl>
              <c:idx val="12"/>
              <c:layout>
                <c:manualLayout>
                  <c:x val="5.6221201286043004E-3"/>
                  <c:y val="5.3110311842736901E-2"/>
                </c:manualLayout>
              </c:layout>
              <c:numFmt formatCode="#,##0.0" sourceLinked="0"/>
              <c:spPr>
                <a:noFill/>
                <a:ln w="15875">
                  <a:noFill/>
                  <a:prstDash val="sysDash"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23C-483F-95C8-43BC01183D2B}"/>
                </c:ext>
              </c:extLst>
            </c:dLbl>
            <c:numFmt formatCode="#,##0.0" sourceLinked="0"/>
            <c:spPr>
              <a:noFill/>
              <a:ln>
                <a:noFill/>
                <a:prstDash val="sysDash"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 cmpd="sng">
                <a:solidFill>
                  <a:schemeClr val="accent4"/>
                </a:solidFill>
                <a:prstDash val="dash"/>
              </a:ln>
              <a:effectLst/>
            </c:spPr>
            <c:trendlineType val="linear"/>
            <c:dispRSqr val="0"/>
            <c:dispEq val="0"/>
          </c:trendline>
          <c:cat>
            <c:numRef>
              <c:f>'Sc nouveau tendanciel'!$C$4:$O$4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cible'!$C$9:$O$9</c:f>
              <c:numCache>
                <c:formatCode>General</c:formatCode>
                <c:ptCount val="13"/>
                <c:pt idx="0" formatCode="0.0">
                  <c:v>8.335513605442177</c:v>
                </c:pt>
                <c:pt idx="7" formatCode="0.0">
                  <c:v>9.2958843520260448</c:v>
                </c:pt>
                <c:pt idx="12" formatCode="0.0">
                  <c:v>9.7760697253179778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23C-483F-95C8-43BC01183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81527280"/>
        <c:axId val="1726589184"/>
      </c:lineChart>
      <c:catAx>
        <c:axId val="168152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6589184"/>
        <c:crosses val="autoZero"/>
        <c:auto val="1"/>
        <c:lblAlgn val="ctr"/>
        <c:lblOffset val="100"/>
        <c:noMultiLvlLbl val="0"/>
      </c:catAx>
      <c:valAx>
        <c:axId val="1726589184"/>
        <c:scaling>
          <c:orientation val="minMax"/>
          <c:max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Consommation d'électricité (TWh)</a:t>
                </a:r>
              </a:p>
            </c:rich>
          </c:tx>
          <c:layout>
            <c:manualLayout>
              <c:xMode val="edge"/>
              <c:yMode val="edge"/>
              <c:x val="2.2338288403964492E-2"/>
              <c:y val="0.286945651793525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1527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71004966189892915"/>
          <c:y val="0.19303469180779917"/>
          <c:w val="0.26112430395272052"/>
          <c:h val="0.691776996625421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/>
              <a:t>Total electricity consumption of data centres in France between 2020 and 2035 for the three scenarios (TWh)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0645302326488555"/>
          <c:y val="0.20179027609885095"/>
          <c:w val="0.56552410139290799"/>
          <c:h val="0.72593743664918975"/>
        </c:manualLayout>
      </c:layout>
      <c:lineChart>
        <c:grouping val="standard"/>
        <c:varyColors val="0"/>
        <c:ser>
          <c:idx val="6"/>
          <c:order val="0"/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Pt>
            <c:idx val="1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A533-4148-B7DC-0DAEB4425ED3}"/>
              </c:ext>
            </c:extLst>
          </c:dPt>
          <c:dLbls>
            <c:dLbl>
              <c:idx val="0"/>
              <c:layout>
                <c:manualLayout>
                  <c:x val="-5.2626827546503559E-2"/>
                  <c:y val="-6.60008891930819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533-4148-B7DC-0DAEB4425ED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33-4148-B7DC-0DAEB4425ED3}"/>
                </c:ext>
              </c:extLst>
            </c:dLbl>
            <c:dLbl>
              <c:idx val="12"/>
              <c:layout>
                <c:manualLayout>
                  <c:x val="3.7590591104645398E-3"/>
                  <c:y val="-1.98002667579247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33-4148-B7DC-0DAEB4425ED3}"/>
                </c:ext>
              </c:extLst>
            </c:dLbl>
            <c:spPr>
              <a:noFill/>
              <a:ln>
                <a:noFill/>
                <a:prstDash val="sysDot"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1">
                    <a:lumMod val="60000"/>
                  </a:schemeClr>
                </a:solidFill>
                <a:prstDash val="solid"/>
              </a:ln>
              <a:effectLst/>
            </c:spPr>
            <c:trendlineType val="linear"/>
            <c:dispRSqr val="0"/>
            <c:dispEq val="0"/>
          </c:trendline>
          <c:cat>
            <c:numRef>
              <c:f>'Sc nouveau tendanciel'!$C$4:$O$4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ancien tendanciel'!$C$9:$O$9</c:f>
              <c:numCache>
                <c:formatCode>0.0</c:formatCode>
                <c:ptCount val="13"/>
                <c:pt idx="0">
                  <c:v>11.59</c:v>
                </c:pt>
                <c:pt idx="7">
                  <c:v>16.400000000000002</c:v>
                </c:pt>
                <c:pt idx="12">
                  <c:v>22.040000000000003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Graphiques!#REF!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4-A533-4148-B7DC-0DAEB4425ED3}"/>
            </c:ext>
          </c:extLst>
        </c:ser>
        <c:ser>
          <c:idx val="3"/>
          <c:order val="1"/>
          <c:spPr>
            <a:ln w="19050" cap="rnd">
              <a:solidFill>
                <a:schemeClr val="accent2"/>
              </a:solidFill>
              <a:prstDash val="dashDot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5853003029446455E-2"/>
                  <c:y val="3.90312108850537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33-4148-B7DC-0DAEB4425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'Sc nouveau tendanciel'!$C$4:$O$4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nouveau tendanciel'!$C$9:$O$9</c:f>
              <c:numCache>
                <c:formatCode>0.0</c:formatCode>
                <c:ptCount val="13"/>
                <c:pt idx="0">
                  <c:v>8.335513605442177</c:v>
                </c:pt>
                <c:pt idx="1">
                  <c:v>11.629626874197447</c:v>
                </c:pt>
                <c:pt idx="2">
                  <c:v>12.437999071747397</c:v>
                </c:pt>
                <c:pt idx="3">
                  <c:v>13.106278304188379</c:v>
                </c:pt>
                <c:pt idx="4">
                  <c:v>13.836102481442399</c:v>
                </c:pt>
                <c:pt idx="5">
                  <c:v>16.034792322630157</c:v>
                </c:pt>
                <c:pt idx="6">
                  <c:v>19.369261363518589</c:v>
                </c:pt>
                <c:pt idx="7">
                  <c:v>23.306278331848475</c:v>
                </c:pt>
                <c:pt idx="8">
                  <c:v>27.826293022769988</c:v>
                </c:pt>
                <c:pt idx="9">
                  <c:v>32.937127177886502</c:v>
                </c:pt>
                <c:pt idx="10">
                  <c:v>37.174581547426079</c:v>
                </c:pt>
                <c:pt idx="11">
                  <c:v>41.244130379261527</c:v>
                </c:pt>
                <c:pt idx="12">
                  <c:v>45.114233407207493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Graphiques!#REF!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6-A533-4148-B7DC-0DAEB4425ED3}"/>
            </c:ext>
          </c:extLst>
        </c:ser>
        <c:ser>
          <c:idx val="5"/>
          <c:order val="2"/>
          <c:spPr>
            <a:ln w="19050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12"/>
              <c:layout>
                <c:manualLayout>
                  <c:x val="-1.3621736017255687E-2"/>
                  <c:y val="-5.97529373416310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533-4148-B7DC-0DAEB4425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'Sc nouveau tendanciel'!$C$4:$O$4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nouveau tendanciel'!$C$10:$O$10</c:f>
              <c:numCache>
                <c:formatCode>0.0</c:formatCode>
                <c:ptCount val="13"/>
                <c:pt idx="0">
                  <c:v>8.335513605442177</c:v>
                </c:pt>
                <c:pt idx="1">
                  <c:v>11.629626874197447</c:v>
                </c:pt>
                <c:pt idx="2">
                  <c:v>12.437999071747397</c:v>
                </c:pt>
                <c:pt idx="3">
                  <c:v>13.106278304188379</c:v>
                </c:pt>
                <c:pt idx="4">
                  <c:v>13.836102481442399</c:v>
                </c:pt>
                <c:pt idx="5">
                  <c:v>14.930276322630156</c:v>
                </c:pt>
                <c:pt idx="6">
                  <c:v>16.792057363518591</c:v>
                </c:pt>
                <c:pt idx="7">
                  <c:v>18.888214331848477</c:v>
                </c:pt>
                <c:pt idx="8">
                  <c:v>21.199197022769987</c:v>
                </c:pt>
                <c:pt idx="9">
                  <c:v>23.732827177886506</c:v>
                </c:pt>
                <c:pt idx="10">
                  <c:v>26.497593547426085</c:v>
                </c:pt>
                <c:pt idx="11">
                  <c:v>29.462626379261529</c:v>
                </c:pt>
                <c:pt idx="12">
                  <c:v>32.596385407207492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Graphiques!#REF!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8-A533-4148-B7DC-0DAEB4425ED3}"/>
            </c:ext>
          </c:extLst>
        </c:ser>
        <c:ser>
          <c:idx val="7"/>
          <c:order val="3"/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533-4148-B7DC-0DAEB4425ED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533-4148-B7DC-0DAEB4425ED3}"/>
                </c:ext>
              </c:extLst>
            </c:dLbl>
            <c:dLbl>
              <c:idx val="12"/>
              <c:layout>
                <c:manualLayout>
                  <c:x val="5.6221201286043004E-3"/>
                  <c:y val="5.3110311842736901E-2"/>
                </c:manualLayout>
              </c:layout>
              <c:numFmt formatCode="#,##0.0" sourceLinked="0"/>
              <c:spPr>
                <a:noFill/>
                <a:ln w="15875">
                  <a:noFill/>
                  <a:prstDash val="sysDash"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533-4148-B7DC-0DAEB4425ED3}"/>
                </c:ext>
              </c:extLst>
            </c:dLbl>
            <c:numFmt formatCode="#,##0.0" sourceLinked="0"/>
            <c:spPr>
              <a:noFill/>
              <a:ln>
                <a:noFill/>
                <a:prstDash val="sysDash"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 cmpd="sng">
                <a:solidFill>
                  <a:schemeClr val="accent4"/>
                </a:solidFill>
                <a:prstDash val="dash"/>
              </a:ln>
              <a:effectLst/>
            </c:spPr>
            <c:trendlineType val="linear"/>
            <c:dispRSqr val="0"/>
            <c:dispEq val="0"/>
          </c:trendline>
          <c:cat>
            <c:numRef>
              <c:f>'Sc nouveau tendanciel'!$C$4:$O$4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cible'!$C$9:$O$9</c:f>
              <c:numCache>
                <c:formatCode>General</c:formatCode>
                <c:ptCount val="13"/>
                <c:pt idx="0" formatCode="0.0">
                  <c:v>8.335513605442177</c:v>
                </c:pt>
                <c:pt idx="7" formatCode="0.0">
                  <c:v>9.2958843520260448</c:v>
                </c:pt>
                <c:pt idx="12" formatCode="0.0">
                  <c:v>9.7760697253179778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Graphiques!#REF!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D-A533-4148-B7DC-0DAEB4425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81527280"/>
        <c:axId val="1726589184"/>
      </c:lineChart>
      <c:catAx>
        <c:axId val="1681527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6589184"/>
        <c:crosses val="autoZero"/>
        <c:auto val="1"/>
        <c:lblAlgn val="ctr"/>
        <c:lblOffset val="100"/>
        <c:noMultiLvlLbl val="0"/>
      </c:catAx>
      <c:valAx>
        <c:axId val="1726589184"/>
        <c:scaling>
          <c:orientation val="minMax"/>
          <c:max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Electricity consumtpion (TWh)</a:t>
                </a:r>
              </a:p>
            </c:rich>
          </c:tx>
          <c:layout>
            <c:manualLayout>
              <c:xMode val="edge"/>
              <c:yMode val="edge"/>
              <c:x val="2.2338288403964492E-2"/>
              <c:y val="0.286945651793525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1527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71004966189892915"/>
          <c:y val="0.19303469180779917"/>
          <c:w val="0.26112430395272052"/>
          <c:h val="0.6917769966254219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Puissance totale</a:t>
            </a:r>
            <a:r>
              <a:rPr lang="fr-FR" baseline="0"/>
              <a:t> installée avec et sans annonces Sommet de l'IA (GW)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Modelisation!$B$40</c:f>
              <c:strCache>
                <c:ptCount val="1"/>
                <c:pt idx="0">
                  <c:v>Puissance totale (pipe RTE) (GW)</c:v>
                </c:pt>
              </c:strCache>
            </c:strRef>
          </c:tx>
          <c:marker>
            <c:symbol val="none"/>
          </c:marker>
          <c:cat>
            <c:numRef>
              <c:f>Modelisation!$C$40:$O$40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Modelisation!$C$46:$O$46</c:f>
              <c:numCache>
                <c:formatCode>0.00</c:formatCode>
                <c:ptCount val="13"/>
                <c:pt idx="0">
                  <c:v>1.358278196060537</c:v>
                </c:pt>
                <c:pt idx="1">
                  <c:v>1.9882781960605369</c:v>
                </c:pt>
                <c:pt idx="2">
                  <c:v>2.0242781960605369</c:v>
                </c:pt>
                <c:pt idx="3">
                  <c:v>2.060278196060537</c:v>
                </c:pt>
                <c:pt idx="4">
                  <c:v>2.096278196060537</c:v>
                </c:pt>
                <c:pt idx="5">
                  <c:v>2.4322781960605369</c:v>
                </c:pt>
                <c:pt idx="6">
                  <c:v>3.068278196060537</c:v>
                </c:pt>
                <c:pt idx="7">
                  <c:v>3.7042781960605371</c:v>
                </c:pt>
                <c:pt idx="8">
                  <c:v>4.3402781960605363</c:v>
                </c:pt>
                <c:pt idx="9">
                  <c:v>4.9762781960605365</c:v>
                </c:pt>
                <c:pt idx="10">
                  <c:v>5.6122781960605366</c:v>
                </c:pt>
                <c:pt idx="11">
                  <c:v>6.2482781960605367</c:v>
                </c:pt>
                <c:pt idx="12">
                  <c:v>6.8482781960605372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23-824D-84C3-375D130FAE66}"/>
            </c:ext>
          </c:extLst>
        </c:ser>
        <c:ser>
          <c:idx val="1"/>
          <c:order val="1"/>
          <c:tx>
            <c:strRef>
              <c:f>Modelisation!$B$49</c:f>
              <c:strCache>
                <c:ptCount val="1"/>
                <c:pt idx="0">
                  <c:v>Puissance totale (AI Summit) (GW)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Modelisation!$C$40:$O$40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Modelisation!$C$51:$O$51</c:f>
              <c:numCache>
                <c:formatCode>0.00</c:formatCode>
                <c:ptCount val="13"/>
                <c:pt idx="0">
                  <c:v>1.358278196060537</c:v>
                </c:pt>
                <c:pt idx="1">
                  <c:v>1.9882781960605369</c:v>
                </c:pt>
                <c:pt idx="2">
                  <c:v>2.0242781960605369</c:v>
                </c:pt>
                <c:pt idx="3">
                  <c:v>2.060278196060537</c:v>
                </c:pt>
                <c:pt idx="4">
                  <c:v>2.096278196060537</c:v>
                </c:pt>
                <c:pt idx="5">
                  <c:v>2.8522781960605368</c:v>
                </c:pt>
                <c:pt idx="6">
                  <c:v>3.9082781960605368</c:v>
                </c:pt>
                <c:pt idx="7">
                  <c:v>4.9642781960605369</c:v>
                </c:pt>
                <c:pt idx="8">
                  <c:v>6.020278196060536</c:v>
                </c:pt>
                <c:pt idx="9">
                  <c:v>7.0762781960605361</c:v>
                </c:pt>
                <c:pt idx="10">
                  <c:v>7.7122781960605362</c:v>
                </c:pt>
                <c:pt idx="11">
                  <c:v>8.3482781960605372</c:v>
                </c:pt>
                <c:pt idx="12">
                  <c:v>8.9482781960605369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23-824D-84C3-375D130FAE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72457792"/>
        <c:axId val="1681823088"/>
      </c:lineChart>
      <c:catAx>
        <c:axId val="117245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1823088"/>
        <c:crosses val="autoZero"/>
        <c:auto val="1"/>
        <c:lblAlgn val="ctr"/>
        <c:lblOffset val="100"/>
        <c:noMultiLvlLbl val="0"/>
      </c:catAx>
      <c:valAx>
        <c:axId val="1681823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72457792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/>
  </c:chart>
  <c:spPr>
    <a:ln>
      <a:noFill/>
    </a:ln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/>
              <a:t>Facteur de charge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Modelisation!$B$69</c:f>
              <c:strCache>
                <c:ptCount val="1"/>
                <c:pt idx="0">
                  <c:v>HPC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Modelisation!$C$69:$M$69</c:f>
              <c:numCache>
                <c:formatCode>0.00</c:formatCode>
                <c:ptCount val="11"/>
                <c:pt idx="0">
                  <c:v>0.3</c:v>
                </c:pt>
                <c:pt idx="1">
                  <c:v>0.32777777777777778</c:v>
                </c:pt>
                <c:pt idx="2">
                  <c:v>0.35555555555555557</c:v>
                </c:pt>
                <c:pt idx="3">
                  <c:v>0.38333333333333336</c:v>
                </c:pt>
                <c:pt idx="4">
                  <c:v>0.41111111111111115</c:v>
                </c:pt>
                <c:pt idx="5">
                  <c:v>0.43888888888888894</c:v>
                </c:pt>
                <c:pt idx="6">
                  <c:v>0.46666666666666673</c:v>
                </c:pt>
                <c:pt idx="7">
                  <c:v>0.49444444444444452</c:v>
                </c:pt>
                <c:pt idx="8">
                  <c:v>0.52222222222222225</c:v>
                </c:pt>
                <c:pt idx="9">
                  <c:v>0.55000000000000004</c:v>
                </c:pt>
                <c:pt idx="10">
                  <c:v>0.55000000000000004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82-564C-B2A9-30DFE125FD9F}"/>
            </c:ext>
          </c:extLst>
        </c:ser>
        <c:ser>
          <c:idx val="1"/>
          <c:order val="1"/>
          <c:tx>
            <c:strRef>
              <c:f>Modelisation!$B$70</c:f>
              <c:strCache>
                <c:ptCount val="1"/>
                <c:pt idx="0">
                  <c:v>Colocation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Modelisation!$C$70:$M$70</c:f>
              <c:numCache>
                <c:formatCode>0.00</c:formatCode>
                <c:ptCount val="11"/>
                <c:pt idx="0">
                  <c:v>0.2</c:v>
                </c:pt>
                <c:pt idx="1">
                  <c:v>0.22142857142857145</c:v>
                </c:pt>
                <c:pt idx="2">
                  <c:v>0.24285714285714288</c:v>
                </c:pt>
                <c:pt idx="3">
                  <c:v>0.26428571428571429</c:v>
                </c:pt>
                <c:pt idx="4">
                  <c:v>0.2857142857142857</c:v>
                </c:pt>
                <c:pt idx="5">
                  <c:v>0.30714285714285711</c:v>
                </c:pt>
                <c:pt idx="6">
                  <c:v>0.32857142857142851</c:v>
                </c:pt>
                <c:pt idx="7">
                  <c:v>0.34999999999999992</c:v>
                </c:pt>
                <c:pt idx="8">
                  <c:v>0.37142857142857133</c:v>
                </c:pt>
                <c:pt idx="9">
                  <c:v>0.39285714285714274</c:v>
                </c:pt>
                <c:pt idx="10">
                  <c:v>0.41428571428571415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82-564C-B2A9-30DFE125FD9F}"/>
            </c:ext>
          </c:extLst>
        </c:ser>
        <c:ser>
          <c:idx val="2"/>
          <c:order val="2"/>
          <c:tx>
            <c:strRef>
              <c:f>Modelisation!$B$71</c:f>
              <c:strCache>
                <c:ptCount val="1"/>
                <c:pt idx="0">
                  <c:v>Edge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Modelisation!$C$71:$M$71</c:f>
              <c:numCache>
                <c:formatCode>0.00</c:formatCode>
                <c:ptCount val="11"/>
                <c:pt idx="0">
                  <c:v>0.2</c:v>
                </c:pt>
                <c:pt idx="1">
                  <c:v>0.21785714285714286</c:v>
                </c:pt>
                <c:pt idx="2">
                  <c:v>0.23571428571428571</c:v>
                </c:pt>
                <c:pt idx="3">
                  <c:v>0.25357142857142856</c:v>
                </c:pt>
                <c:pt idx="4">
                  <c:v>0.27142857142857141</c:v>
                </c:pt>
                <c:pt idx="5">
                  <c:v>0.28928571428571426</c:v>
                </c:pt>
                <c:pt idx="6">
                  <c:v>0.30714285714285711</c:v>
                </c:pt>
                <c:pt idx="7">
                  <c:v>0.32499999999999996</c:v>
                </c:pt>
                <c:pt idx="8">
                  <c:v>0.3428571428571428</c:v>
                </c:pt>
                <c:pt idx="9">
                  <c:v>0.36071428571428565</c:v>
                </c:pt>
                <c:pt idx="10">
                  <c:v>0.3785714285714285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A82-564C-B2A9-30DFE125FD9F}"/>
            </c:ext>
          </c:extLst>
        </c:ser>
        <c:ser>
          <c:idx val="3"/>
          <c:order val="3"/>
          <c:tx>
            <c:strRef>
              <c:f>Modelisation!$B$72</c:f>
              <c:strCache>
                <c:ptCount val="1"/>
                <c:pt idx="0">
                  <c:v>Hyperscalers IA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Modelisation!$C$72:$M$72</c:f>
              <c:numCache>
                <c:formatCode>General</c:formatCode>
                <c:ptCount val="11"/>
                <c:pt idx="0">
                  <c:v>0.3</c:v>
                </c:pt>
                <c:pt idx="1">
                  <c:v>0.39999999999999997</c:v>
                </c:pt>
                <c:pt idx="2">
                  <c:v>0.49999999999999994</c:v>
                </c:pt>
                <c:pt idx="3">
                  <c:v>0.6</c:v>
                </c:pt>
                <c:pt idx="4">
                  <c:v>0.7</c:v>
                </c:pt>
                <c:pt idx="5">
                  <c:v>0.7</c:v>
                </c:pt>
                <c:pt idx="6">
                  <c:v>0.7</c:v>
                </c:pt>
                <c:pt idx="7">
                  <c:v>0.7</c:v>
                </c:pt>
                <c:pt idx="8">
                  <c:v>0.7</c:v>
                </c:pt>
                <c:pt idx="9">
                  <c:v>0.7</c:v>
                </c:pt>
                <c:pt idx="10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19F-9942-977E-E8BEE7461E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77649200"/>
        <c:axId val="1677417920"/>
      </c:lineChart>
      <c:catAx>
        <c:axId val="16776492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77417920"/>
        <c:crosses val="autoZero"/>
        <c:auto val="1"/>
        <c:lblAlgn val="ctr"/>
        <c:lblOffset val="100"/>
        <c:noMultiLvlLbl val="0"/>
      </c:catAx>
      <c:valAx>
        <c:axId val="16774179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77649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Consommation</a:t>
            </a:r>
            <a:r>
              <a:rPr lang="fr-FR" baseline="0"/>
              <a:t> d'électricité - scénario anciennement tendanciel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'Sc ancien tendanciel'!$B$9</c:f>
              <c:strCache>
                <c:ptCount val="1"/>
                <c:pt idx="0">
                  <c:v>Scénario "ancien tendanciel"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'Sc ancien tendanciel'!$C$5:$O$5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ancien tendanciel'!$C$9:$O$9</c:f>
              <c:numCache>
                <c:formatCode>0.0</c:formatCode>
                <c:ptCount val="13"/>
                <c:pt idx="0">
                  <c:v>11.59</c:v>
                </c:pt>
                <c:pt idx="7">
                  <c:v>16.400000000000002</c:v>
                </c:pt>
                <c:pt idx="12">
                  <c:v>22.040000000000003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71-A748-93BA-FE69407FD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6010272"/>
        <c:axId val="1896011984"/>
      </c:lineChart>
      <c:catAx>
        <c:axId val="189601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6011984"/>
        <c:crosses val="autoZero"/>
        <c:auto val="1"/>
        <c:lblAlgn val="ctr"/>
        <c:lblOffset val="100"/>
        <c:noMultiLvlLbl val="0"/>
      </c:catAx>
      <c:valAx>
        <c:axId val="1896011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9601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/>
              <a:t>Consommation totale d'électricité des centres de données en France</a:t>
            </a:r>
            <a:r>
              <a:rPr lang="fr-FR" sz="1200" baseline="0"/>
              <a:t> entre 2020 et 2035 pour les deux variantes du scénario "nouveau tendanciel"</a:t>
            </a:r>
            <a:endParaRPr lang="fr-FR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8.3747206210687236E-2"/>
          <c:y val="0.20179027609885095"/>
          <c:w val="0.62128361906480056"/>
          <c:h val="0.7259374366491897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'Sc nouveau tendanciel'!$B$7</c:f>
              <c:strCache>
                <c:ptCount val="1"/>
                <c:pt idx="0">
                  <c:v>Colocation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'Sc nouveau tendanciel'!$C$4:$O$4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nouveau tendanciel'!$C$7:$O$7</c:f>
              <c:numCache>
                <c:formatCode>0.0</c:formatCode>
                <c:ptCount val="13"/>
                <c:pt idx="0">
                  <c:v>3.9340000000000002</c:v>
                </c:pt>
                <c:pt idx="1">
                  <c:v>5.7132806461629242</c:v>
                </c:pt>
                <c:pt idx="2">
                  <c:v>6.0392930364243931</c:v>
                </c:pt>
                <c:pt idx="3">
                  <c:v>6.3630101311468028</c:v>
                </c:pt>
                <c:pt idx="4">
                  <c:v>6.6842119206984139</c:v>
                </c:pt>
                <c:pt idx="5">
                  <c:v>7.1898847634526026</c:v>
                </c:pt>
                <c:pt idx="6">
                  <c:v>8.1408619498576211</c:v>
                </c:pt>
                <c:pt idx="7">
                  <c:v>9.1434178564919382</c:v>
                </c:pt>
                <c:pt idx="8">
                  <c:v>10.19366564652816</c:v>
                </c:pt>
                <c:pt idx="9">
                  <c:v>11.287718483138907</c:v>
                </c:pt>
                <c:pt idx="10">
                  <c:v>12.421689529496785</c:v>
                </c:pt>
                <c:pt idx="11">
                  <c:v>13.591691948774413</c:v>
                </c:pt>
                <c:pt idx="12">
                  <c:v>14.749658264144399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71-E846-942A-334C85035C1E}"/>
            </c:ext>
          </c:extLst>
        </c:ser>
        <c:ser>
          <c:idx val="2"/>
          <c:order val="2"/>
          <c:tx>
            <c:strRef>
              <c:f>'Sc nouveau tendanciel'!$B$8</c:f>
              <c:strCache>
                <c:ptCount val="1"/>
                <c:pt idx="0">
                  <c:v>Edge, entreprise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C682-7C45-84FA-B063C51473BB}"/>
              </c:ext>
            </c:extLst>
          </c:dPt>
          <c:val>
            <c:numRef>
              <c:f>'Sc nouveau tendanciel'!$C$8:$O$8</c:f>
              <c:numCache>
                <c:formatCode>0.0</c:formatCode>
                <c:ptCount val="13"/>
                <c:pt idx="0">
                  <c:v>4.0348469387755097</c:v>
                </c:pt>
                <c:pt idx="1">
                  <c:v>5.1166836734693861</c:v>
                </c:pt>
                <c:pt idx="2">
                  <c:v>5.460892256582456</c:v>
                </c:pt>
                <c:pt idx="3">
                  <c:v>5.6551434971022942</c:v>
                </c:pt>
                <c:pt idx="4">
                  <c:v>5.9010101169118743</c:v>
                </c:pt>
                <c:pt idx="5">
                  <c:v>6.1671805453811404</c:v>
                </c:pt>
                <c:pt idx="6">
                  <c:v>6.5436954100012299</c:v>
                </c:pt>
                <c:pt idx="7">
                  <c:v>7.0076129972983905</c:v>
                </c:pt>
                <c:pt idx="8">
                  <c:v>7.5382314470665426</c:v>
                </c:pt>
                <c:pt idx="9">
                  <c:v>8.1422208455527905</c:v>
                </c:pt>
                <c:pt idx="10">
                  <c:v>8.8269182876289403</c:v>
                </c:pt>
                <c:pt idx="11">
                  <c:v>9.6003945776539741</c:v>
                </c:pt>
                <c:pt idx="12">
                  <c:v>10.4715276004228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AF-AC44-8A3C-14A4BBAD237E}"/>
            </c:ext>
          </c:extLst>
        </c:ser>
        <c:ser>
          <c:idx val="0"/>
          <c:order val="3"/>
          <c:tx>
            <c:strRef>
              <c:f>'Sc nouveau tendanciel'!$B$6</c:f>
              <c:strCache>
                <c:ptCount val="1"/>
                <c:pt idx="0">
                  <c:v>HPC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'Sc nouveau tendanciel'!$C$4:$O$4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nouveau tendanciel'!$C$6:$O$6</c:f>
              <c:numCache>
                <c:formatCode>0.0</c:formatCode>
                <c:ptCount val="13"/>
                <c:pt idx="0">
                  <c:v>0.36666666666666675</c:v>
                </c:pt>
                <c:pt idx="1">
                  <c:v>0.79966255456513635</c:v>
                </c:pt>
                <c:pt idx="2">
                  <c:v>0.93781377874054739</c:v>
                </c:pt>
                <c:pt idx="3">
                  <c:v>1.0881246759392809</c:v>
                </c:pt>
                <c:pt idx="4">
                  <c:v>1.2508804438321097</c:v>
                </c:pt>
                <c:pt idx="5">
                  <c:v>1.5732110137964141</c:v>
                </c:pt>
                <c:pt idx="6">
                  <c:v>2.1075000036597404</c:v>
                </c:pt>
                <c:pt idx="7">
                  <c:v>2.7371834780581477</c:v>
                </c:pt>
                <c:pt idx="8">
                  <c:v>3.4672999291752848</c:v>
                </c:pt>
                <c:pt idx="9">
                  <c:v>4.3028878491948062</c:v>
                </c:pt>
                <c:pt idx="10">
                  <c:v>5.2489857303003591</c:v>
                </c:pt>
                <c:pt idx="11">
                  <c:v>6.270539852833144</c:v>
                </c:pt>
                <c:pt idx="12">
                  <c:v>7.3751995426402885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71-E846-942A-334C85035C1E}"/>
            </c:ext>
          </c:extLst>
        </c:ser>
        <c:ser>
          <c:idx val="4"/>
          <c:order val="4"/>
          <c:tx>
            <c:strRef>
              <c:f>'Sc nouveau tendanciel'!$B$5</c:f>
              <c:strCache>
                <c:ptCount val="1"/>
                <c:pt idx="0">
                  <c:v>Hyperscalers (Annonces Sommet de l'IA)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'Sc nouveau tendanciel'!$C$5:$O$5</c:f>
              <c:numCache>
                <c:formatCode>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1.1045159999999996</c:v>
                </c:pt>
                <c:pt idx="6">
                  <c:v>2.5772039999999992</c:v>
                </c:pt>
                <c:pt idx="7">
                  <c:v>4.4180639999999984</c:v>
                </c:pt>
                <c:pt idx="8">
                  <c:v>6.6270959999999981</c:v>
                </c:pt>
                <c:pt idx="9">
                  <c:v>9.2042999999999981</c:v>
                </c:pt>
                <c:pt idx="10">
                  <c:v>10.676987999999998</c:v>
                </c:pt>
                <c:pt idx="11">
                  <c:v>11.781503999999996</c:v>
                </c:pt>
                <c:pt idx="12">
                  <c:v>12.517847999999999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B9-5B4A-A043-798553C28E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81527280"/>
        <c:axId val="1726589184"/>
      </c:barChart>
      <c:lineChart>
        <c:grouping val="standard"/>
        <c:varyColors val="0"/>
        <c:ser>
          <c:idx val="3"/>
          <c:order val="1"/>
          <c:tx>
            <c:strRef>
              <c:f>'Sc nouveau tendanciel'!$B$9</c:f>
              <c:strCache>
                <c:ptCount val="1"/>
                <c:pt idx="0">
                  <c:v>Scénario "nouveau tendanciel" - avec annonces Sommet de l'IA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B5E-EB4C-B96B-1E947EC017B1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'Sc nouveau tendanciel'!$C$9:$O$9</c:f>
              <c:numCache>
                <c:formatCode>0.0</c:formatCode>
                <c:ptCount val="13"/>
                <c:pt idx="0">
                  <c:v>8.335513605442177</c:v>
                </c:pt>
                <c:pt idx="1">
                  <c:v>11.629626874197447</c:v>
                </c:pt>
                <c:pt idx="2">
                  <c:v>12.437999071747397</c:v>
                </c:pt>
                <c:pt idx="3">
                  <c:v>13.106278304188379</c:v>
                </c:pt>
                <c:pt idx="4">
                  <c:v>13.836102481442399</c:v>
                </c:pt>
                <c:pt idx="5">
                  <c:v>16.034792322630157</c:v>
                </c:pt>
                <c:pt idx="6">
                  <c:v>19.369261363518589</c:v>
                </c:pt>
                <c:pt idx="7">
                  <c:v>23.306278331848475</c:v>
                </c:pt>
                <c:pt idx="8">
                  <c:v>27.826293022769988</c:v>
                </c:pt>
                <c:pt idx="9">
                  <c:v>32.937127177886502</c:v>
                </c:pt>
                <c:pt idx="10">
                  <c:v>37.174581547426079</c:v>
                </c:pt>
                <c:pt idx="11">
                  <c:v>41.244130379261527</c:v>
                </c:pt>
                <c:pt idx="12">
                  <c:v>45.114233407207493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71-E846-942A-334C85035C1E}"/>
            </c:ext>
          </c:extLst>
        </c:ser>
        <c:ser>
          <c:idx val="5"/>
          <c:order val="5"/>
          <c:tx>
            <c:strRef>
              <c:f>'Sc nouveau tendanciel'!$B$10</c:f>
              <c:strCache>
                <c:ptCount val="1"/>
                <c:pt idx="0">
                  <c:v>Scénario "nouveau tendanciel" - sans annonces Sommet de l'IA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B5E-EB4C-B96B-1E947EC017B1}"/>
                </c:ext>
              </c:extLst>
            </c:dLbl>
            <c:dLbl>
              <c:idx val="1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B5E-EB4C-B96B-1E947EC017B1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'Sc nouveau tendanciel'!$C$10:$O$10</c:f>
              <c:numCache>
                <c:formatCode>0.0</c:formatCode>
                <c:ptCount val="13"/>
                <c:pt idx="0">
                  <c:v>8.335513605442177</c:v>
                </c:pt>
                <c:pt idx="1">
                  <c:v>11.629626874197447</c:v>
                </c:pt>
                <c:pt idx="2">
                  <c:v>12.437999071747397</c:v>
                </c:pt>
                <c:pt idx="3">
                  <c:v>13.106278304188379</c:v>
                </c:pt>
                <c:pt idx="4">
                  <c:v>13.836102481442399</c:v>
                </c:pt>
                <c:pt idx="5">
                  <c:v>14.930276322630156</c:v>
                </c:pt>
                <c:pt idx="6">
                  <c:v>16.792057363518591</c:v>
                </c:pt>
                <c:pt idx="7">
                  <c:v>18.888214331848477</c:v>
                </c:pt>
                <c:pt idx="8">
                  <c:v>21.199197022769987</c:v>
                </c:pt>
                <c:pt idx="9">
                  <c:v>23.732827177886506</c:v>
                </c:pt>
                <c:pt idx="10">
                  <c:v>26.497593547426085</c:v>
                </c:pt>
                <c:pt idx="11">
                  <c:v>29.462626379261529</c:v>
                </c:pt>
                <c:pt idx="12">
                  <c:v>32.596385407207492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B5E-EB4C-B96B-1E947EC017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81527280"/>
        <c:axId val="1726589184"/>
      </c:lineChart>
      <c:catAx>
        <c:axId val="1681527280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726589184"/>
        <c:crosses val="autoZero"/>
        <c:auto val="1"/>
        <c:lblAlgn val="ctr"/>
        <c:lblOffset val="100"/>
        <c:noMultiLvlLbl val="0"/>
      </c:catAx>
      <c:valAx>
        <c:axId val="1726589184"/>
        <c:scaling>
          <c:orientation val="minMax"/>
          <c:max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TWh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81527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2845681743848245"/>
          <c:y val="0.22168293848303011"/>
          <c:w val="0.2715431825615176"/>
          <c:h val="0.598276233469570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Capacités totales des centres de données en France entre 2020 et 2035 pour les deux variantes du scénario "nouveau tendanciel"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stacked"/>
        <c:varyColors val="0"/>
        <c:ser>
          <c:idx val="5"/>
          <c:order val="0"/>
          <c:tx>
            <c:strRef>
              <c:f>'Sc nouveau tendanciel'!$B$39</c:f>
              <c:strCache>
                <c:ptCount val="1"/>
                <c:pt idx="0">
                  <c:v>Colocation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'Sc nouveau tendanciel'!$C$39:$O$39</c:f>
              <c:numCache>
                <c:formatCode>0.0</c:formatCode>
                <c:ptCount val="13"/>
                <c:pt idx="0">
                  <c:v>1.2822267853068676</c:v>
                </c:pt>
                <c:pt idx="1">
                  <c:v>1.7475770446807857</c:v>
                </c:pt>
                <c:pt idx="2">
                  <c:v>1.7462894135556202</c:v>
                </c:pt>
                <c:pt idx="3">
                  <c:v>1.743830539429335</c:v>
                </c:pt>
                <c:pt idx="4">
                  <c:v>1.7402004223019298</c:v>
                </c:pt>
                <c:pt idx="5">
                  <c:v>1.9795603163727327</c:v>
                </c:pt>
                <c:pt idx="6">
                  <c:v>2.4472696841277464</c:v>
                </c:pt>
                <c:pt idx="7">
                  <c:v>2.8942870921963095</c:v>
                </c:pt>
                <c:pt idx="8">
                  <c:v>3.3206125405784221</c:v>
                </c:pt>
                <c:pt idx="9">
                  <c:v>3.7262460292740851</c:v>
                </c:pt>
                <c:pt idx="10">
                  <c:v>4.111187558283298</c:v>
                </c:pt>
                <c:pt idx="11">
                  <c:v>4.4754371276060603</c:v>
                </c:pt>
                <c:pt idx="12">
                  <c:v>4.7937947372423757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8F-9A4C-BBCF-0342C863AD19}"/>
            </c:ext>
          </c:extLst>
        </c:ser>
        <c:ser>
          <c:idx val="1"/>
          <c:order val="1"/>
          <c:tx>
            <c:strRef>
              <c:f>'Sc nouveau tendanciel'!$B$40</c:f>
              <c:strCache>
                <c:ptCount val="1"/>
                <c:pt idx="0">
                  <c:v>Edge, entreprise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'Sc nouveau tendanciel'!$C$36:$O$36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nouveau tendanciel'!$C$40:$O$40</c:f>
              <c:numCache>
                <c:formatCode>0.0</c:formatCode>
                <c:ptCount val="13"/>
                <c:pt idx="0">
                  <c:v>1.2760340275740687</c:v>
                </c:pt>
                <c:pt idx="1">
                  <c:v>1.4373716632443532</c:v>
                </c:pt>
                <c:pt idx="2">
                  <c:v>1.5053665201420647</c:v>
                </c:pt>
                <c:pt idx="3">
                  <c:v>1.595688511350589</c:v>
                </c:pt>
                <c:pt idx="4">
                  <c:v>1.7073867071451303</c:v>
                </c:pt>
                <c:pt idx="5">
                  <c:v>1.8439776437167408</c:v>
                </c:pt>
                <c:pt idx="6">
                  <c:v>2.0099356316512469</c:v>
                </c:pt>
                <c:pt idx="7">
                  <c:v>2.2109291948163721</c:v>
                </c:pt>
                <c:pt idx="8">
                  <c:v>2.4320221142980092</c:v>
                </c:pt>
                <c:pt idx="9">
                  <c:v>2.6752243257278105</c:v>
                </c:pt>
                <c:pt idx="10">
                  <c:v>2.9427467583005922</c:v>
                </c:pt>
                <c:pt idx="11">
                  <c:v>3.2370214341306509</c:v>
                </c:pt>
                <c:pt idx="12">
                  <c:v>3.5607235775437172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EB-AB4F-B56E-F0D540D77C6E}"/>
            </c:ext>
          </c:extLst>
        </c:ser>
        <c:ser>
          <c:idx val="4"/>
          <c:order val="2"/>
          <c:tx>
            <c:strRef>
              <c:f>'Sc nouveau tendanciel'!$B$38</c:f>
              <c:strCache>
                <c:ptCount val="1"/>
                <c:pt idx="0">
                  <c:v>HPC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'Sc nouveau tendanciel'!$C$38:$O$38</c:f>
              <c:numCache>
                <c:formatCode>0.0</c:formatCode>
                <c:ptCount val="13"/>
                <c:pt idx="0">
                  <c:v>7.6051410753669488E-2</c:v>
                </c:pt>
                <c:pt idx="1">
                  <c:v>0.24070115137975115</c:v>
                </c:pt>
                <c:pt idx="2">
                  <c:v>0.2779887825049166</c:v>
                </c:pt>
                <c:pt idx="3">
                  <c:v>0.31644765663120183</c:v>
                </c:pt>
                <c:pt idx="4">
                  <c:v>0.35607777375860689</c:v>
                </c:pt>
                <c:pt idx="5">
                  <c:v>0.45271787968780364</c:v>
                </c:pt>
                <c:pt idx="6">
                  <c:v>0.62100851193278983</c:v>
                </c:pt>
                <c:pt idx="7">
                  <c:v>0.80999110386422624</c:v>
                </c:pt>
                <c:pt idx="8">
                  <c:v>1.0196656554821126</c:v>
                </c:pt>
                <c:pt idx="9">
                  <c:v>1.2500321667864494</c:v>
                </c:pt>
                <c:pt idx="10">
                  <c:v>1.5010906377772362</c:v>
                </c:pt>
                <c:pt idx="11">
                  <c:v>1.7728410684544731</c:v>
                </c:pt>
                <c:pt idx="12">
                  <c:v>2.0544834588181611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8F-9A4C-BBCF-0342C863AD19}"/>
            </c:ext>
          </c:extLst>
        </c:ser>
        <c:ser>
          <c:idx val="0"/>
          <c:order val="3"/>
          <c:tx>
            <c:strRef>
              <c:f>'Sc nouveau tendanciel'!$B$37</c:f>
              <c:strCache>
                <c:ptCount val="1"/>
                <c:pt idx="0">
                  <c:v>Hyperscalers (Annonces Sommet de l'IA)</c:v>
                </c:pt>
              </c:strCache>
            </c:strRef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cat>
            <c:numRef>
              <c:f>'Sc nouveau tendanciel'!$C$36:$O$36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nouveau tendanciel'!$C$37:$O$37</c:f>
              <c:numCache>
                <c:formatCode>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0.41999999999999993</c:v>
                </c:pt>
                <c:pt idx="6">
                  <c:v>0.83999999999999986</c:v>
                </c:pt>
                <c:pt idx="7">
                  <c:v>1.2599999999999998</c:v>
                </c:pt>
                <c:pt idx="8">
                  <c:v>1.6799999999999997</c:v>
                </c:pt>
                <c:pt idx="9">
                  <c:v>2.0999999999999996</c:v>
                </c:pt>
                <c:pt idx="10">
                  <c:v>2.0999999999999996</c:v>
                </c:pt>
                <c:pt idx="11">
                  <c:v>2.0999999999999996</c:v>
                </c:pt>
                <c:pt idx="12">
                  <c:v>2.0999999999999996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EB-AB4F-B56E-F0D540D77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032264400"/>
        <c:axId val="2074042336"/>
      </c:barChart>
      <c:lineChart>
        <c:grouping val="standard"/>
        <c:varyColors val="0"/>
        <c:ser>
          <c:idx val="2"/>
          <c:order val="4"/>
          <c:tx>
            <c:strRef>
              <c:f>'Sc nouveau tendanciel'!$B$41</c:f>
              <c:strCache>
                <c:ptCount val="1"/>
                <c:pt idx="0">
                  <c:v>Scénario "nouveau tendanciel" avec annonces Sommet de l'IA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1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8F-9A4C-BBCF-0342C863AD1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'Sc nouveau tendanciel'!$C$36:$O$36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nouveau tendanciel'!$C$41:$O$41</c:f>
              <c:numCache>
                <c:formatCode>0.0</c:formatCode>
                <c:ptCount val="13"/>
                <c:pt idx="0">
                  <c:v>2.6343122236346055</c:v>
                </c:pt>
                <c:pt idx="1">
                  <c:v>3.4256498593048903</c:v>
                </c:pt>
                <c:pt idx="2">
                  <c:v>3.5296447162026015</c:v>
                </c:pt>
                <c:pt idx="3">
                  <c:v>3.6559667074111259</c:v>
                </c:pt>
                <c:pt idx="4">
                  <c:v>3.8036649032056671</c:v>
                </c:pt>
                <c:pt idx="5">
                  <c:v>4.6962558397772769</c:v>
                </c:pt>
                <c:pt idx="6">
                  <c:v>5.9182138277117833</c:v>
                </c:pt>
                <c:pt idx="7">
                  <c:v>7.1752073908769072</c:v>
                </c:pt>
                <c:pt idx="8">
                  <c:v>8.4523003103585435</c:v>
                </c:pt>
                <c:pt idx="9">
                  <c:v>9.7515025217883444</c:v>
                </c:pt>
                <c:pt idx="10">
                  <c:v>10.655024954361126</c:v>
                </c:pt>
                <c:pt idx="11">
                  <c:v>11.585299630191184</c:v>
                </c:pt>
                <c:pt idx="12">
                  <c:v>12.509001773604254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0EB-AB4F-B56E-F0D540D77C6E}"/>
            </c:ext>
          </c:extLst>
        </c:ser>
        <c:ser>
          <c:idx val="3"/>
          <c:order val="5"/>
          <c:tx>
            <c:strRef>
              <c:f>'Sc nouveau tendanciel'!$B$42</c:f>
              <c:strCache>
                <c:ptCount val="1"/>
                <c:pt idx="0">
                  <c:v>Scénario "nouveau tendanciel" sans annonces Sommet de l'IA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8F-9A4C-BBCF-0342C863AD19}"/>
                </c:ext>
              </c:extLst>
            </c:dLbl>
            <c:dLbl>
              <c:idx val="1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48F-9A4C-BBCF-0342C863AD1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'Sc nouveau tendanciel'!$C$37:$O$37</c:f>
              <c:numCache>
                <c:formatCode>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0.41999999999999993</c:v>
                </c:pt>
                <c:pt idx="6">
                  <c:v>0.83999999999999986</c:v>
                </c:pt>
                <c:pt idx="7">
                  <c:v>1.2599999999999998</c:v>
                </c:pt>
                <c:pt idx="8">
                  <c:v>1.6799999999999997</c:v>
                </c:pt>
                <c:pt idx="9">
                  <c:v>2.0999999999999996</c:v>
                </c:pt>
                <c:pt idx="10">
                  <c:v>2.0999999999999996</c:v>
                </c:pt>
                <c:pt idx="11">
                  <c:v>2.0999999999999996</c:v>
                </c:pt>
                <c:pt idx="12">
                  <c:v>2.0999999999999996</c:v>
                </c:pt>
              </c:numCache>
            </c:numRef>
          </c:cat>
          <c:val>
            <c:numRef>
              <c:f>'Sc nouveau tendanciel'!$C$42:$O$42</c:f>
              <c:numCache>
                <c:formatCode>0.0</c:formatCode>
                <c:ptCount val="13"/>
                <c:pt idx="0">
                  <c:v>2.6343122236346055</c:v>
                </c:pt>
                <c:pt idx="1">
                  <c:v>3.4256498593048903</c:v>
                </c:pt>
                <c:pt idx="2">
                  <c:v>3.5296447162026015</c:v>
                </c:pt>
                <c:pt idx="3">
                  <c:v>3.6559667074111259</c:v>
                </c:pt>
                <c:pt idx="4">
                  <c:v>3.8036649032056671</c:v>
                </c:pt>
                <c:pt idx="5">
                  <c:v>4.276255839777277</c:v>
                </c:pt>
                <c:pt idx="6">
                  <c:v>5.0782138277117834</c:v>
                </c:pt>
                <c:pt idx="7">
                  <c:v>5.9152073908769083</c:v>
                </c:pt>
                <c:pt idx="8">
                  <c:v>6.7723003103585437</c:v>
                </c:pt>
                <c:pt idx="9">
                  <c:v>7.6515025217883448</c:v>
                </c:pt>
                <c:pt idx="10">
                  <c:v>8.5550249543611265</c:v>
                </c:pt>
                <c:pt idx="11">
                  <c:v>9.4852996301911841</c:v>
                </c:pt>
                <c:pt idx="12">
                  <c:v>10.409001773604254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0EB-AB4F-B56E-F0D540D77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2264400"/>
        <c:axId val="2074042336"/>
      </c:lineChart>
      <c:catAx>
        <c:axId val="2032264400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4042336"/>
        <c:crosses val="autoZero"/>
        <c:auto val="1"/>
        <c:lblAlgn val="ctr"/>
        <c:lblOffset val="100"/>
        <c:noMultiLvlLbl val="0"/>
      </c:catAx>
      <c:valAx>
        <c:axId val="2074042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GW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2264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Emissions de CO2 équivalent (MtCO2e) des centres de données en France et à l'étranger, avec objectif</a:t>
            </a:r>
            <a:r>
              <a:rPr lang="fr-FR" baseline="0"/>
              <a:t> cible 2030</a:t>
            </a:r>
            <a:endParaRPr lang="fr-F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'Sc nouveau tendanciel'!$B$71</c:f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EA7131"/>
              </a:solidFill>
              <a:ln w="9525">
                <a:noFill/>
              </a:ln>
              <a:effectLst/>
            </c:spPr>
          </c:marker>
          <c:val>
            <c:numRef>
              <c:f>'Sc nouveau tendanciel'!$C$71:$F$71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'Sc nouveau tendanciel'!$C$70:$F$70</c15:sqref>
                        </c15:formulaRef>
                      </c:ext>
                    </c:extLst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7ED0-754F-8020-135380612D1D}"/>
            </c:ext>
          </c:extLst>
        </c:ser>
        <c:ser>
          <c:idx val="1"/>
          <c:order val="1"/>
          <c:tx>
            <c:strRef>
              <c:f>'Sc nouveau tendanciel'!$B$73</c:f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noFill/>
              </a:ln>
              <a:effectLst/>
            </c:spPr>
          </c:marker>
          <c:val>
            <c:numRef>
              <c:f>'Sc nouveau tendanciel'!$C$73:$F$73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'Sc nouveau tendanciel'!$C$70:$F$70</c15:sqref>
                        </c15:formulaRef>
                      </c:ext>
                    </c:extLst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7ED0-754F-8020-135380612D1D}"/>
            </c:ext>
          </c:extLst>
        </c:ser>
        <c:ser>
          <c:idx val="2"/>
          <c:order val="2"/>
          <c:tx>
            <c:strRef>
              <c:f>'Sc nouveau tendanciel'!$B$74</c:f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noFill/>
              </a:ln>
              <a:effectLst/>
            </c:spPr>
          </c:marker>
          <c:val>
            <c:numRef>
              <c:f>'Sc nouveau tendanciel'!$C$74:$F$74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'Sc nouveau tendanciel'!$C$70:$F$70</c15:sqref>
                        </c15:formulaRef>
                      </c:ext>
                    </c:extLst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2-7ED0-754F-8020-135380612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3655248"/>
        <c:axId val="931890320"/>
      </c:lineChart>
      <c:catAx>
        <c:axId val="1693655248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931890320"/>
        <c:crosses val="autoZero"/>
        <c:auto val="1"/>
        <c:lblAlgn val="ctr"/>
        <c:lblOffset val="100"/>
        <c:noMultiLvlLbl val="0"/>
      </c:catAx>
      <c:valAx>
        <c:axId val="931890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93655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2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Capacités totales des centres de données en France entre 2020 et 2035 pour la variante "nouveau tendanciel" sans annonces Sommet de l'IA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2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'Sc nouveau tendanciel'!$B$39</c:f>
              <c:strCache>
                <c:ptCount val="1"/>
                <c:pt idx="0">
                  <c:v>Colocation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'Sc nouveau tendanciel'!$C$36:$O$36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nouveau tendanciel'!$C$39:$O$39</c:f>
              <c:numCache>
                <c:formatCode>0.0</c:formatCode>
                <c:ptCount val="13"/>
                <c:pt idx="0">
                  <c:v>1.2822267853068676</c:v>
                </c:pt>
                <c:pt idx="1">
                  <c:v>1.7475770446807857</c:v>
                </c:pt>
                <c:pt idx="2">
                  <c:v>1.7462894135556202</c:v>
                </c:pt>
                <c:pt idx="3">
                  <c:v>1.743830539429335</c:v>
                </c:pt>
                <c:pt idx="4">
                  <c:v>1.7402004223019298</c:v>
                </c:pt>
                <c:pt idx="5">
                  <c:v>1.9795603163727327</c:v>
                </c:pt>
                <c:pt idx="6">
                  <c:v>2.4472696841277464</c:v>
                </c:pt>
                <c:pt idx="7">
                  <c:v>2.8942870921963095</c:v>
                </c:pt>
                <c:pt idx="8">
                  <c:v>3.3206125405784221</c:v>
                </c:pt>
                <c:pt idx="9">
                  <c:v>3.7262460292740851</c:v>
                </c:pt>
                <c:pt idx="10">
                  <c:v>4.111187558283298</c:v>
                </c:pt>
                <c:pt idx="11">
                  <c:v>4.4754371276060603</c:v>
                </c:pt>
                <c:pt idx="12">
                  <c:v>4.7937947372423757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01-2040-BDAF-138FAC1BC370}"/>
            </c:ext>
          </c:extLst>
        </c:ser>
        <c:ser>
          <c:idx val="1"/>
          <c:order val="1"/>
          <c:tx>
            <c:strRef>
              <c:f>'Sc nouveau tendanciel'!$B$40</c:f>
              <c:strCache>
                <c:ptCount val="1"/>
                <c:pt idx="0">
                  <c:v>Edge, entreprise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'Sc nouveau tendanciel'!$C$36:$O$36</c:f>
              <c:numCache>
                <c:formatCode>General</c:formatCode>
                <c:ptCount val="13"/>
                <c:pt idx="0">
                  <c:v>2020</c:v>
                </c:pt>
                <c:pt idx="1">
                  <c:v>2024</c:v>
                </c:pt>
                <c:pt idx="2">
                  <c:v>2025</c:v>
                </c:pt>
                <c:pt idx="3">
                  <c:v>2026</c:v>
                </c:pt>
                <c:pt idx="4">
                  <c:v>2027</c:v>
                </c:pt>
                <c:pt idx="5">
                  <c:v>2028</c:v>
                </c:pt>
                <c:pt idx="6">
                  <c:v>2029</c:v>
                </c:pt>
                <c:pt idx="7">
                  <c:v>2030</c:v>
                </c:pt>
                <c:pt idx="8">
                  <c:v>2031</c:v>
                </c:pt>
                <c:pt idx="9">
                  <c:v>2032</c:v>
                </c:pt>
                <c:pt idx="10">
                  <c:v>2033</c:v>
                </c:pt>
                <c:pt idx="11">
                  <c:v>2034</c:v>
                </c:pt>
                <c:pt idx="12">
                  <c:v>2035</c:v>
                </c:pt>
              </c:numCache>
            </c:numRef>
          </c:cat>
          <c:val>
            <c:numRef>
              <c:f>'Sc nouveau tendanciel'!$C$40:$O$40</c:f>
              <c:numCache>
                <c:formatCode>0.0</c:formatCode>
                <c:ptCount val="13"/>
                <c:pt idx="0">
                  <c:v>1.2760340275740687</c:v>
                </c:pt>
                <c:pt idx="1">
                  <c:v>1.4373716632443532</c:v>
                </c:pt>
                <c:pt idx="2">
                  <c:v>1.5053665201420647</c:v>
                </c:pt>
                <c:pt idx="3">
                  <c:v>1.595688511350589</c:v>
                </c:pt>
                <c:pt idx="4">
                  <c:v>1.7073867071451303</c:v>
                </c:pt>
                <c:pt idx="5">
                  <c:v>1.8439776437167408</c:v>
                </c:pt>
                <c:pt idx="6">
                  <c:v>2.0099356316512469</c:v>
                </c:pt>
                <c:pt idx="7">
                  <c:v>2.2109291948163721</c:v>
                </c:pt>
                <c:pt idx="8">
                  <c:v>2.4320221142980092</c:v>
                </c:pt>
                <c:pt idx="9">
                  <c:v>2.6752243257278105</c:v>
                </c:pt>
                <c:pt idx="10">
                  <c:v>2.9427467583005922</c:v>
                </c:pt>
                <c:pt idx="11">
                  <c:v>3.2370214341306509</c:v>
                </c:pt>
                <c:pt idx="12">
                  <c:v>3.5607235775437172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E01-2040-BDAF-138FAC1BC370}"/>
            </c:ext>
          </c:extLst>
        </c:ser>
        <c:ser>
          <c:idx val="2"/>
          <c:order val="3"/>
          <c:tx>
            <c:strRef>
              <c:f>'Sc nouveau tendanciel'!$B$37</c:f>
              <c:strCache>
                <c:ptCount val="1"/>
                <c:pt idx="0">
                  <c:v>Hyperscalers (Annonces Sommet de l'IA)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'Sc nouveau tendanciel'!$C$37:$O$37</c:f>
              <c:numCache>
                <c:formatCode>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0.41999999999999993</c:v>
                </c:pt>
                <c:pt idx="6">
                  <c:v>0.83999999999999986</c:v>
                </c:pt>
                <c:pt idx="7">
                  <c:v>1.2599999999999998</c:v>
                </c:pt>
                <c:pt idx="8">
                  <c:v>1.6799999999999997</c:v>
                </c:pt>
                <c:pt idx="9">
                  <c:v>2.0999999999999996</c:v>
                </c:pt>
                <c:pt idx="10">
                  <c:v>2.0999999999999996</c:v>
                </c:pt>
                <c:pt idx="11">
                  <c:v>2.0999999999999996</c:v>
                </c:pt>
                <c:pt idx="12">
                  <c:v>2.0999999999999996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76-C745-B244-DE7B0F9A2A3A}"/>
            </c:ext>
          </c:extLst>
        </c:ser>
        <c:ser>
          <c:idx val="4"/>
          <c:order val="4"/>
          <c:tx>
            <c:strRef>
              <c:f>'Sc nouveau tendanciel'!$B$38</c:f>
              <c:strCache>
                <c:ptCount val="1"/>
                <c:pt idx="0">
                  <c:v>HPC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'Sc nouveau tendanciel'!$C$38:$O$38</c:f>
              <c:numCache>
                <c:formatCode>0.0</c:formatCode>
                <c:ptCount val="13"/>
                <c:pt idx="0">
                  <c:v>7.6051410753669488E-2</c:v>
                </c:pt>
                <c:pt idx="1">
                  <c:v>0.24070115137975115</c:v>
                </c:pt>
                <c:pt idx="2">
                  <c:v>0.2779887825049166</c:v>
                </c:pt>
                <c:pt idx="3">
                  <c:v>0.31644765663120183</c:v>
                </c:pt>
                <c:pt idx="4">
                  <c:v>0.35607777375860689</c:v>
                </c:pt>
                <c:pt idx="5">
                  <c:v>0.45271787968780364</c:v>
                </c:pt>
                <c:pt idx="6">
                  <c:v>0.62100851193278983</c:v>
                </c:pt>
                <c:pt idx="7">
                  <c:v>0.80999110386422624</c:v>
                </c:pt>
                <c:pt idx="8">
                  <c:v>1.0196656554821126</c:v>
                </c:pt>
                <c:pt idx="9">
                  <c:v>1.2500321667864494</c:v>
                </c:pt>
                <c:pt idx="10">
                  <c:v>1.5010906377772362</c:v>
                </c:pt>
                <c:pt idx="11">
                  <c:v>1.7728410684544731</c:v>
                </c:pt>
                <c:pt idx="12">
                  <c:v>2.0544834588181611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76-C745-B244-DE7B0F9A2A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032264400"/>
        <c:axId val="2074042336"/>
      </c:barChart>
      <c:lineChart>
        <c:grouping val="standard"/>
        <c:varyColors val="0"/>
        <c:ser>
          <c:idx val="3"/>
          <c:order val="2"/>
          <c:tx>
            <c:strRef>
              <c:f>'Sc nouveau tendanciel'!$B$41</c:f>
              <c:strCache>
                <c:ptCount val="1"/>
                <c:pt idx="0">
                  <c:v>Scénario "nouveau tendanciel" avec annonces Sommet de l'IA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'Sc nouveau tendanciel'!$C$38:$O$38</c:f>
              <c:numCache>
                <c:formatCode>0.0</c:formatCode>
                <c:ptCount val="13"/>
                <c:pt idx="0">
                  <c:v>7.6051410753669488E-2</c:v>
                </c:pt>
                <c:pt idx="1">
                  <c:v>0.24070115137975115</c:v>
                </c:pt>
                <c:pt idx="2">
                  <c:v>0.2779887825049166</c:v>
                </c:pt>
                <c:pt idx="3">
                  <c:v>0.31644765663120183</c:v>
                </c:pt>
                <c:pt idx="4">
                  <c:v>0.35607777375860689</c:v>
                </c:pt>
                <c:pt idx="5">
                  <c:v>0.45271787968780364</c:v>
                </c:pt>
                <c:pt idx="6">
                  <c:v>0.62100851193278983</c:v>
                </c:pt>
                <c:pt idx="7">
                  <c:v>0.80999110386422624</c:v>
                </c:pt>
                <c:pt idx="8">
                  <c:v>1.0196656554821126</c:v>
                </c:pt>
                <c:pt idx="9">
                  <c:v>1.2500321667864494</c:v>
                </c:pt>
                <c:pt idx="10">
                  <c:v>1.5010906377772362</c:v>
                </c:pt>
                <c:pt idx="11">
                  <c:v>1.7728410684544731</c:v>
                </c:pt>
                <c:pt idx="12">
                  <c:v>2.0544834588181611</c:v>
                </c:pt>
              </c:numCache>
            </c:numRef>
          </c:cat>
          <c:val>
            <c:numRef>
              <c:f>'Sc nouveau tendanciel'!$C$41:$O$41</c:f>
              <c:numCache>
                <c:formatCode>0.0</c:formatCode>
                <c:ptCount val="13"/>
                <c:pt idx="0">
                  <c:v>2.6343122236346055</c:v>
                </c:pt>
                <c:pt idx="1">
                  <c:v>3.4256498593048903</c:v>
                </c:pt>
                <c:pt idx="2">
                  <c:v>3.5296447162026015</c:v>
                </c:pt>
                <c:pt idx="3">
                  <c:v>3.6559667074111259</c:v>
                </c:pt>
                <c:pt idx="4">
                  <c:v>3.8036649032056671</c:v>
                </c:pt>
                <c:pt idx="5">
                  <c:v>4.6962558397772769</c:v>
                </c:pt>
                <c:pt idx="6">
                  <c:v>5.9182138277117833</c:v>
                </c:pt>
                <c:pt idx="7">
                  <c:v>7.1752073908769072</c:v>
                </c:pt>
                <c:pt idx="8">
                  <c:v>8.4523003103585435</c:v>
                </c:pt>
                <c:pt idx="9">
                  <c:v>9.7515025217883444</c:v>
                </c:pt>
                <c:pt idx="10">
                  <c:v>10.655024954361126</c:v>
                </c:pt>
                <c:pt idx="11">
                  <c:v>11.585299630191184</c:v>
                </c:pt>
                <c:pt idx="12">
                  <c:v>12.509001773604254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01-2040-BDAF-138FAC1BC3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32264400"/>
        <c:axId val="2074042336"/>
      </c:lineChart>
      <c:catAx>
        <c:axId val="2032264400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74042336"/>
        <c:crosses val="autoZero"/>
        <c:auto val="1"/>
        <c:lblAlgn val="ctr"/>
        <c:lblOffset val="100"/>
        <c:noMultiLvlLbl val="0"/>
      </c:catAx>
      <c:valAx>
        <c:axId val="2074042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GW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32264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4" Type="http://schemas.openxmlformats.org/officeDocument/2006/relationships/chart" Target="../charts/chart1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208451</xdr:colOff>
      <xdr:row>24</xdr:row>
      <xdr:rowOff>62578</xdr:rowOff>
    </xdr:from>
    <xdr:to>
      <xdr:col>22</xdr:col>
      <xdr:colOff>37352</xdr:colOff>
      <xdr:row>36</xdr:row>
      <xdr:rowOff>149412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A1BA1835-A0AD-28A2-C3E7-FD84EFAC4C8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127000</xdr:colOff>
      <xdr:row>53</xdr:row>
      <xdr:rowOff>105958</xdr:rowOff>
    </xdr:from>
    <xdr:to>
      <xdr:col>22</xdr:col>
      <xdr:colOff>660400</xdr:colOff>
      <xdr:row>64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567DD1A6-22BA-C612-6224-B540CF4EDA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535677</xdr:colOff>
      <xdr:row>39</xdr:row>
      <xdr:rowOff>8632</xdr:rowOff>
    </xdr:from>
    <xdr:to>
      <xdr:col>21</xdr:col>
      <xdr:colOff>281677</xdr:colOff>
      <xdr:row>50</xdr:row>
      <xdr:rowOff>141110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69AC0517-E8C3-0E46-ADB9-15FDBA973B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18</xdr:col>
      <xdr:colOff>230020</xdr:colOff>
      <xdr:row>65</xdr:row>
      <xdr:rowOff>81049</xdr:rowOff>
    </xdr:from>
    <xdr:to>
      <xdr:col>22</xdr:col>
      <xdr:colOff>917233</xdr:colOff>
      <xdr:row>77</xdr:row>
      <xdr:rowOff>85337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B11345C-9BD9-4BD0-AB01-14373C0DE1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0.16098</cdr:x>
      <cdr:y>0.36553</cdr:y>
    </cdr:from>
    <cdr:to>
      <cdr:x>0.45662</cdr:x>
      <cdr:y>0.51302</cdr:y>
    </cdr:to>
    <cdr:cxnSp macro="">
      <cdr:nvCxnSpPr>
        <cdr:cNvPr id="29" name="Connecteur droit 28">
          <a:extLst xmlns:a="http://schemas.openxmlformats.org/drawingml/2006/main">
            <a:ext uri="{FF2B5EF4-FFF2-40B4-BE49-F238E27FC236}">
              <a16:creationId xmlns:a16="http://schemas.microsoft.com/office/drawing/2014/main" id="{2F686AA5-3EBD-4CF4-FA46-88224E29E9F2}"/>
            </a:ext>
          </a:extLst>
        </cdr:cNvPr>
        <cdr:cNvCxnSpPr/>
      </cdr:nvCxnSpPr>
      <cdr:spPr>
        <a:xfrm xmlns:a="http://schemas.openxmlformats.org/drawingml/2006/main" flipV="1">
          <a:off x="1331609" y="1538623"/>
          <a:ext cx="2445468" cy="620806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accent2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0.16298</cdr:x>
      <cdr:y>0.51638</cdr:y>
    </cdr:from>
    <cdr:to>
      <cdr:x>0.45686</cdr:x>
      <cdr:y>0.68662</cdr:y>
    </cdr:to>
    <cdr:cxnSp macro="">
      <cdr:nvCxnSpPr>
        <cdr:cNvPr id="31" name="Connecteur droit 30">
          <a:extLst xmlns:a="http://schemas.openxmlformats.org/drawingml/2006/main">
            <a:ext uri="{FF2B5EF4-FFF2-40B4-BE49-F238E27FC236}">
              <a16:creationId xmlns:a16="http://schemas.microsoft.com/office/drawing/2014/main" id="{2F686AA5-3EBD-4CF4-FA46-88224E29E9F2}"/>
            </a:ext>
          </a:extLst>
        </cdr:cNvPr>
        <cdr:cNvCxnSpPr/>
      </cdr:nvCxnSpPr>
      <cdr:spPr>
        <a:xfrm xmlns:a="http://schemas.openxmlformats.org/drawingml/2006/main">
          <a:off x="1337293" y="2268269"/>
          <a:ext cx="2411458" cy="747797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accent4"/>
          </a:solidFill>
          <a:prstDash val="dash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0.16324</cdr:x>
      <cdr:y>0.56007</cdr:y>
    </cdr:from>
    <cdr:to>
      <cdr:x>0.45854</cdr:x>
      <cdr:y>0.72837</cdr:y>
    </cdr:to>
    <cdr:cxnSp macro="">
      <cdr:nvCxnSpPr>
        <cdr:cNvPr id="29" name="Connecteur droit 28">
          <a:extLst xmlns:a="http://schemas.openxmlformats.org/drawingml/2006/main">
            <a:ext uri="{FF2B5EF4-FFF2-40B4-BE49-F238E27FC236}">
              <a16:creationId xmlns:a16="http://schemas.microsoft.com/office/drawing/2014/main" id="{2F686AA5-3EBD-4CF4-FA46-88224E29E9F2}"/>
            </a:ext>
          </a:extLst>
        </cdr:cNvPr>
        <cdr:cNvCxnSpPr/>
      </cdr:nvCxnSpPr>
      <cdr:spPr>
        <a:xfrm xmlns:a="http://schemas.openxmlformats.org/drawingml/2006/main" flipV="1">
          <a:off x="1359977" y="2397760"/>
          <a:ext cx="2460183" cy="720492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accent2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0.16343</cdr:x>
      <cdr:y>0.73006</cdr:y>
    </cdr:from>
    <cdr:to>
      <cdr:x>0.45732</cdr:x>
      <cdr:y>0.80451</cdr:y>
    </cdr:to>
    <cdr:cxnSp macro="">
      <cdr:nvCxnSpPr>
        <cdr:cNvPr id="31" name="Connecteur droit 30">
          <a:extLst xmlns:a="http://schemas.openxmlformats.org/drawingml/2006/main">
            <a:ext uri="{FF2B5EF4-FFF2-40B4-BE49-F238E27FC236}">
              <a16:creationId xmlns:a16="http://schemas.microsoft.com/office/drawing/2014/main" id="{2F686AA5-3EBD-4CF4-FA46-88224E29E9F2}"/>
            </a:ext>
          </a:extLst>
        </cdr:cNvPr>
        <cdr:cNvCxnSpPr/>
      </cdr:nvCxnSpPr>
      <cdr:spPr>
        <a:xfrm xmlns:a="http://schemas.openxmlformats.org/drawingml/2006/main">
          <a:off x="1361564" y="3125517"/>
          <a:ext cx="2448436" cy="318723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chemeClr val="accent4"/>
          </a:solidFill>
          <a:prstDash val="dash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0.1125</cdr:x>
      <cdr:y>0.7804</cdr:y>
    </cdr:from>
    <cdr:to>
      <cdr:x>0.1224</cdr:x>
      <cdr:y>0.8274</cdr:y>
    </cdr:to>
    <cdr:sp macro="" textlink="">
      <cdr:nvSpPr>
        <cdr:cNvPr id="2" name="Double flèche verticale 1">
          <a:extLst xmlns:a="http://schemas.openxmlformats.org/drawingml/2006/main">
            <a:ext uri="{FF2B5EF4-FFF2-40B4-BE49-F238E27FC236}">
              <a16:creationId xmlns:a16="http://schemas.microsoft.com/office/drawing/2014/main" id="{50753C57-D52A-5192-A6DE-224F8D66B83A}"/>
            </a:ext>
          </a:extLst>
        </cdr:cNvPr>
        <cdr:cNvSpPr/>
      </cdr:nvSpPr>
      <cdr:spPr>
        <a:xfrm xmlns:a="http://schemas.openxmlformats.org/drawingml/2006/main">
          <a:off x="692183" y="2787503"/>
          <a:ext cx="60911" cy="167878"/>
        </a:xfrm>
        <a:prstGeom xmlns:a="http://schemas.openxmlformats.org/drawingml/2006/main" prst="upDownArrow">
          <a:avLst/>
        </a:prstGeom>
        <a:solidFill xmlns:a="http://schemas.openxmlformats.org/drawingml/2006/main">
          <a:schemeClr val="tx2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fr-FR" kern="1200"/>
        </a:p>
      </cdr:txBody>
    </cdr:sp>
  </cdr:relSizeAnchor>
  <cdr:relSizeAnchor xmlns:cdr="http://schemas.openxmlformats.org/drawingml/2006/chartDrawing">
    <cdr:from>
      <cdr:x>0.74475</cdr:x>
      <cdr:y>0.8784</cdr:y>
    </cdr:from>
    <cdr:to>
      <cdr:x>0.75565</cdr:x>
      <cdr:y>0.92531</cdr:y>
    </cdr:to>
    <cdr:sp macro="" textlink="">
      <cdr:nvSpPr>
        <cdr:cNvPr id="3" name="Double flèche verticale 2">
          <a:extLst xmlns:a="http://schemas.openxmlformats.org/drawingml/2006/main">
            <a:ext uri="{FF2B5EF4-FFF2-40B4-BE49-F238E27FC236}">
              <a16:creationId xmlns:a16="http://schemas.microsoft.com/office/drawing/2014/main" id="{9AA8ECB3-CB09-C875-F065-FE3114CA57B9}"/>
            </a:ext>
          </a:extLst>
        </cdr:cNvPr>
        <cdr:cNvSpPr/>
      </cdr:nvSpPr>
      <cdr:spPr>
        <a:xfrm xmlns:a="http://schemas.openxmlformats.org/drawingml/2006/main">
          <a:off x="4578381" y="3103314"/>
          <a:ext cx="67008" cy="165729"/>
        </a:xfrm>
        <a:prstGeom xmlns:a="http://schemas.openxmlformats.org/drawingml/2006/main" prst="upDownArrow">
          <a:avLst/>
        </a:prstGeom>
        <a:solidFill xmlns:a="http://schemas.openxmlformats.org/drawingml/2006/main">
          <a:schemeClr val="tx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fr-FR" kern="1200"/>
        </a:p>
      </cdr:txBody>
    </cdr:sp>
  </cdr:relSizeAnchor>
  <cdr:relSizeAnchor xmlns:cdr="http://schemas.openxmlformats.org/drawingml/2006/chartDrawing">
    <cdr:from>
      <cdr:x>0.77239</cdr:x>
      <cdr:y>0.85696</cdr:y>
    </cdr:from>
    <cdr:to>
      <cdr:x>0.97435</cdr:x>
      <cdr:y>0.97971</cdr:y>
    </cdr:to>
    <cdr:sp macro="" textlink="">
      <cdr:nvSpPr>
        <cdr:cNvPr id="4" name="ZoneTexte 3">
          <a:extLst xmlns:a="http://schemas.openxmlformats.org/drawingml/2006/main">
            <a:ext uri="{FF2B5EF4-FFF2-40B4-BE49-F238E27FC236}">
              <a16:creationId xmlns:a16="http://schemas.microsoft.com/office/drawing/2014/main" id="{9753AC2E-9F0D-8E9A-5898-9513AE3285FC}"/>
            </a:ext>
          </a:extLst>
        </cdr:cNvPr>
        <cdr:cNvSpPr txBox="1"/>
      </cdr:nvSpPr>
      <cdr:spPr>
        <a:xfrm xmlns:a="http://schemas.openxmlformats.org/drawingml/2006/main">
          <a:off x="4776047" y="3047350"/>
          <a:ext cx="1248833" cy="4364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fr-FR" sz="800" kern="1200">
              <a:solidFill>
                <a:schemeClr val="tx1">
                  <a:lumMod val="65000"/>
                  <a:lumOff val="35000"/>
                </a:schemeClr>
              </a:solidFill>
            </a:rPr>
            <a:t>Incertitude sur le</a:t>
          </a:r>
          <a:r>
            <a:rPr lang="fr-FR" sz="800" kern="1200" baseline="0">
              <a:solidFill>
                <a:schemeClr val="tx1">
                  <a:lumMod val="65000"/>
                  <a:lumOff val="35000"/>
                </a:schemeClr>
              </a:solidFill>
            </a:rPr>
            <a:t> point de départ</a:t>
          </a:r>
          <a:endParaRPr lang="fr-FR" sz="800" kern="1200">
            <a:solidFill>
              <a:schemeClr val="tx1">
                <a:lumMod val="65000"/>
                <a:lumOff val="35000"/>
              </a:schemeClr>
            </a:solidFill>
          </a:endParaRP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0.1125</cdr:x>
      <cdr:y>0.7804</cdr:y>
    </cdr:from>
    <cdr:to>
      <cdr:x>0.1224</cdr:x>
      <cdr:y>0.8274</cdr:y>
    </cdr:to>
    <cdr:sp macro="" textlink="">
      <cdr:nvSpPr>
        <cdr:cNvPr id="2" name="Double flèche verticale 1">
          <a:extLst xmlns:a="http://schemas.openxmlformats.org/drawingml/2006/main">
            <a:ext uri="{FF2B5EF4-FFF2-40B4-BE49-F238E27FC236}">
              <a16:creationId xmlns:a16="http://schemas.microsoft.com/office/drawing/2014/main" id="{50753C57-D52A-5192-A6DE-224F8D66B83A}"/>
            </a:ext>
          </a:extLst>
        </cdr:cNvPr>
        <cdr:cNvSpPr/>
      </cdr:nvSpPr>
      <cdr:spPr>
        <a:xfrm xmlns:a="http://schemas.openxmlformats.org/drawingml/2006/main">
          <a:off x="692183" y="2787503"/>
          <a:ext cx="60911" cy="167878"/>
        </a:xfrm>
        <a:prstGeom xmlns:a="http://schemas.openxmlformats.org/drawingml/2006/main" prst="upDownArrow">
          <a:avLst/>
        </a:prstGeom>
        <a:solidFill xmlns:a="http://schemas.openxmlformats.org/drawingml/2006/main">
          <a:schemeClr val="tx2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fr-FR" kern="1200"/>
        </a:p>
      </cdr:txBody>
    </cdr:sp>
  </cdr:relSizeAnchor>
  <cdr:relSizeAnchor xmlns:cdr="http://schemas.openxmlformats.org/drawingml/2006/chartDrawing">
    <cdr:from>
      <cdr:x>0.74475</cdr:x>
      <cdr:y>0.8784</cdr:y>
    </cdr:from>
    <cdr:to>
      <cdr:x>0.75565</cdr:x>
      <cdr:y>0.92531</cdr:y>
    </cdr:to>
    <cdr:sp macro="" textlink="">
      <cdr:nvSpPr>
        <cdr:cNvPr id="3" name="Double flèche verticale 2">
          <a:extLst xmlns:a="http://schemas.openxmlformats.org/drawingml/2006/main">
            <a:ext uri="{FF2B5EF4-FFF2-40B4-BE49-F238E27FC236}">
              <a16:creationId xmlns:a16="http://schemas.microsoft.com/office/drawing/2014/main" id="{9AA8ECB3-CB09-C875-F065-FE3114CA57B9}"/>
            </a:ext>
          </a:extLst>
        </cdr:cNvPr>
        <cdr:cNvSpPr/>
      </cdr:nvSpPr>
      <cdr:spPr>
        <a:xfrm xmlns:a="http://schemas.openxmlformats.org/drawingml/2006/main">
          <a:off x="4578381" y="3103314"/>
          <a:ext cx="67008" cy="165729"/>
        </a:xfrm>
        <a:prstGeom xmlns:a="http://schemas.openxmlformats.org/drawingml/2006/main" prst="upDownArrow">
          <a:avLst/>
        </a:prstGeom>
        <a:solidFill xmlns:a="http://schemas.openxmlformats.org/drawingml/2006/main">
          <a:schemeClr val="tx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fr-FR" kern="1200"/>
        </a:p>
      </cdr:txBody>
    </cdr:sp>
  </cdr:relSizeAnchor>
  <cdr:relSizeAnchor xmlns:cdr="http://schemas.openxmlformats.org/drawingml/2006/chartDrawing">
    <cdr:from>
      <cdr:x>0.77239</cdr:x>
      <cdr:y>0.85696</cdr:y>
    </cdr:from>
    <cdr:to>
      <cdr:x>0.97435</cdr:x>
      <cdr:y>0.97971</cdr:y>
    </cdr:to>
    <cdr:sp macro="" textlink="">
      <cdr:nvSpPr>
        <cdr:cNvPr id="4" name="ZoneTexte 3">
          <a:extLst xmlns:a="http://schemas.openxmlformats.org/drawingml/2006/main">
            <a:ext uri="{FF2B5EF4-FFF2-40B4-BE49-F238E27FC236}">
              <a16:creationId xmlns:a16="http://schemas.microsoft.com/office/drawing/2014/main" id="{9753AC2E-9F0D-8E9A-5898-9513AE3285FC}"/>
            </a:ext>
          </a:extLst>
        </cdr:cNvPr>
        <cdr:cNvSpPr txBox="1"/>
      </cdr:nvSpPr>
      <cdr:spPr>
        <a:xfrm xmlns:a="http://schemas.openxmlformats.org/drawingml/2006/main">
          <a:off x="4776047" y="3047350"/>
          <a:ext cx="1248833" cy="43649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fr-FR" sz="800" kern="1200">
              <a:solidFill>
                <a:schemeClr val="tx1">
                  <a:lumMod val="65000"/>
                  <a:lumOff val="35000"/>
                </a:schemeClr>
              </a:solidFill>
            </a:rPr>
            <a:t>Uncertainty about the starting point (2020)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69850</xdr:colOff>
      <xdr:row>11</xdr:row>
      <xdr:rowOff>44449</xdr:rowOff>
    </xdr:from>
    <xdr:to>
      <xdr:col>10</xdr:col>
      <xdr:colOff>220869</xdr:colOff>
      <xdr:row>30</xdr:row>
      <xdr:rowOff>27609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5F75F2F6-1EFA-7AF5-944A-F05DF647DD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963809</xdr:colOff>
      <xdr:row>13</xdr:row>
      <xdr:rowOff>2127</xdr:rowOff>
    </xdr:from>
    <xdr:to>
      <xdr:col>8</xdr:col>
      <xdr:colOff>269543</xdr:colOff>
      <xdr:row>31</xdr:row>
      <xdr:rowOff>2127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CB96BBAC-73AE-A844-F45F-7540CACD114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21617</xdr:colOff>
      <xdr:row>43</xdr:row>
      <xdr:rowOff>191491</xdr:rowOff>
    </xdr:from>
    <xdr:to>
      <xdr:col>7</xdr:col>
      <xdr:colOff>420150</xdr:colOff>
      <xdr:row>61</xdr:row>
      <xdr:rowOff>143234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8449ADAB-66C1-DE57-14CF-5ACC8FC7022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762950</xdr:colOff>
      <xdr:row>68</xdr:row>
      <xdr:rowOff>138971</xdr:rowOff>
    </xdr:from>
    <xdr:to>
      <xdr:col>21</xdr:col>
      <xdr:colOff>820976</xdr:colOff>
      <xdr:row>85</xdr:row>
      <xdr:rowOff>63939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DB4FE3DB-B545-4DE0-2732-D9997327E0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507999</xdr:colOff>
      <xdr:row>43</xdr:row>
      <xdr:rowOff>160865</xdr:rowOff>
    </xdr:from>
    <xdr:to>
      <xdr:col>14</xdr:col>
      <xdr:colOff>270933</xdr:colOff>
      <xdr:row>61</xdr:row>
      <xdr:rowOff>160865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54F97DE2-D3D7-DA4D-92A7-E139EC8457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812800</xdr:colOff>
      <xdr:row>13</xdr:row>
      <xdr:rowOff>50800</xdr:rowOff>
    </xdr:from>
    <xdr:to>
      <xdr:col>15</xdr:col>
      <xdr:colOff>575733</xdr:colOff>
      <xdr:row>31</xdr:row>
      <xdr:rowOff>50800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CF8121BA-E200-4046-9CED-4433683B2C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220134</xdr:colOff>
      <xdr:row>68</xdr:row>
      <xdr:rowOff>135468</xdr:rowOff>
    </xdr:from>
    <xdr:to>
      <xdr:col>14</xdr:col>
      <xdr:colOff>338668</xdr:colOff>
      <xdr:row>85</xdr:row>
      <xdr:rowOff>152400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F9D1E99B-D6A2-224B-8AFC-019C4BFD4D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0.08261</cdr:x>
      <cdr:y>0.77191</cdr:y>
    </cdr:from>
    <cdr:to>
      <cdr:x>0.09585</cdr:x>
      <cdr:y>0.82856</cdr:y>
    </cdr:to>
    <cdr:sp macro="" textlink="">
      <cdr:nvSpPr>
        <cdr:cNvPr id="2" name="Double flèche verticale 1">
          <a:extLst xmlns:a="http://schemas.openxmlformats.org/drawingml/2006/main">
            <a:ext uri="{FF2B5EF4-FFF2-40B4-BE49-F238E27FC236}">
              <a16:creationId xmlns:a16="http://schemas.microsoft.com/office/drawing/2014/main" id="{50753C57-D52A-5192-A6DE-224F8D66B83A}"/>
            </a:ext>
          </a:extLst>
        </cdr:cNvPr>
        <cdr:cNvSpPr/>
      </cdr:nvSpPr>
      <cdr:spPr>
        <a:xfrm xmlns:a="http://schemas.openxmlformats.org/drawingml/2006/main">
          <a:off x="531305" y="2828712"/>
          <a:ext cx="85115" cy="207613"/>
        </a:xfrm>
        <a:prstGeom xmlns:a="http://schemas.openxmlformats.org/drawingml/2006/main" prst="upDownArrow">
          <a:avLst/>
        </a:prstGeom>
        <a:solidFill xmlns:a="http://schemas.openxmlformats.org/drawingml/2006/main">
          <a:schemeClr val="accent4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fr-FR" kern="1200"/>
        </a:p>
      </cdr:txBody>
    </cdr:sp>
  </cdr:relSizeAnchor>
  <cdr:relSizeAnchor xmlns:cdr="http://schemas.openxmlformats.org/drawingml/2006/chartDrawing">
    <cdr:from>
      <cdr:x>0.75204</cdr:x>
      <cdr:y>0.82614</cdr:y>
    </cdr:from>
    <cdr:to>
      <cdr:x>0.76439</cdr:x>
      <cdr:y>0.88092</cdr:y>
    </cdr:to>
    <cdr:sp macro="" textlink="">
      <cdr:nvSpPr>
        <cdr:cNvPr id="3" name="Double flèche verticale 2">
          <a:extLst xmlns:a="http://schemas.openxmlformats.org/drawingml/2006/main">
            <a:ext uri="{FF2B5EF4-FFF2-40B4-BE49-F238E27FC236}">
              <a16:creationId xmlns:a16="http://schemas.microsoft.com/office/drawing/2014/main" id="{9AA8ECB3-CB09-C875-F065-FE3114CA57B9}"/>
            </a:ext>
          </a:extLst>
        </cdr:cNvPr>
        <cdr:cNvSpPr/>
      </cdr:nvSpPr>
      <cdr:spPr>
        <a:xfrm xmlns:a="http://schemas.openxmlformats.org/drawingml/2006/main">
          <a:off x="4836579" y="3027452"/>
          <a:ext cx="79421" cy="200733"/>
        </a:xfrm>
        <a:prstGeom xmlns:a="http://schemas.openxmlformats.org/drawingml/2006/main" prst="upDownArrow">
          <a:avLst/>
        </a:prstGeom>
        <a:solidFill xmlns:a="http://schemas.openxmlformats.org/drawingml/2006/main">
          <a:schemeClr val="accent4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15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fr-FR" kern="1200"/>
        </a:p>
      </cdr:txBody>
    </cdr:sp>
  </cdr:relSizeAnchor>
  <cdr:relSizeAnchor xmlns:cdr="http://schemas.openxmlformats.org/drawingml/2006/chartDrawing">
    <cdr:from>
      <cdr:x>0.78586</cdr:x>
      <cdr:y>0.81395</cdr:y>
    </cdr:from>
    <cdr:to>
      <cdr:x>0.98413</cdr:x>
      <cdr:y>0.9367</cdr:y>
    </cdr:to>
    <cdr:sp macro="" textlink="">
      <cdr:nvSpPr>
        <cdr:cNvPr id="4" name="ZoneTexte 3">
          <a:extLst xmlns:a="http://schemas.openxmlformats.org/drawingml/2006/main">
            <a:ext uri="{FF2B5EF4-FFF2-40B4-BE49-F238E27FC236}">
              <a16:creationId xmlns:a16="http://schemas.microsoft.com/office/drawing/2014/main" id="{9753AC2E-9F0D-8E9A-5898-9513AE3285FC}"/>
            </a:ext>
          </a:extLst>
        </cdr:cNvPr>
        <cdr:cNvSpPr txBox="1"/>
      </cdr:nvSpPr>
      <cdr:spPr>
        <a:xfrm xmlns:a="http://schemas.openxmlformats.org/drawingml/2006/main">
          <a:off x="5322045" y="3156017"/>
          <a:ext cx="1342739" cy="47595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fr-FR" sz="900" kern="1200">
              <a:solidFill>
                <a:schemeClr val="tx1">
                  <a:lumMod val="50000"/>
                  <a:lumOff val="50000"/>
                </a:schemeClr>
              </a:solidFill>
            </a:rPr>
            <a:t>Incertitude sur le</a:t>
          </a:r>
          <a:r>
            <a:rPr lang="fr-FR" sz="900" kern="1200" baseline="0">
              <a:solidFill>
                <a:schemeClr val="tx1">
                  <a:lumMod val="50000"/>
                  <a:lumOff val="50000"/>
                </a:schemeClr>
              </a:solidFill>
            </a:rPr>
            <a:t> point de départ</a:t>
          </a:r>
          <a:endParaRPr lang="fr-FR" sz="900" kern="1200">
            <a:solidFill>
              <a:schemeClr val="tx1">
                <a:lumMod val="50000"/>
                <a:lumOff val="50000"/>
              </a:schemeClr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0.19406</cdr:x>
      <cdr:y>0.25163</cdr:y>
    </cdr:from>
    <cdr:to>
      <cdr:x>0.5613</cdr:x>
      <cdr:y>0.45813</cdr:y>
    </cdr:to>
    <cdr:cxnSp macro="">
      <cdr:nvCxnSpPr>
        <cdr:cNvPr id="3" name="Connecteur droit 2">
          <a:extLst xmlns:a="http://schemas.openxmlformats.org/drawingml/2006/main">
            <a:ext uri="{FF2B5EF4-FFF2-40B4-BE49-F238E27FC236}">
              <a16:creationId xmlns:a16="http://schemas.microsoft.com/office/drawing/2014/main" id="{726C37D7-AB24-1922-5B62-B43A695EC262}"/>
            </a:ext>
          </a:extLst>
        </cdr:cNvPr>
        <cdr:cNvCxnSpPr/>
      </cdr:nvCxnSpPr>
      <cdr:spPr>
        <a:xfrm xmlns:a="http://schemas.openxmlformats.org/drawingml/2006/main">
          <a:off x="1135085" y="866604"/>
          <a:ext cx="2148114" cy="71120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0.19231</cdr:x>
      <cdr:y>0.3224</cdr:y>
    </cdr:from>
    <cdr:to>
      <cdr:x>0.5613</cdr:x>
      <cdr:y>0.57824</cdr:y>
    </cdr:to>
    <cdr:cxnSp macro="">
      <cdr:nvCxnSpPr>
        <cdr:cNvPr id="6" name="Connecteur droit 5">
          <a:extLst xmlns:a="http://schemas.openxmlformats.org/drawingml/2006/main">
            <a:ext uri="{FF2B5EF4-FFF2-40B4-BE49-F238E27FC236}">
              <a16:creationId xmlns:a16="http://schemas.microsoft.com/office/drawing/2014/main" id="{A491E4A5-3245-44F9-9023-AE753C2D74E2}"/>
            </a:ext>
          </a:extLst>
        </cdr:cNvPr>
        <cdr:cNvCxnSpPr/>
      </cdr:nvCxnSpPr>
      <cdr:spPr>
        <a:xfrm xmlns:a="http://schemas.openxmlformats.org/drawingml/2006/main">
          <a:off x="1124858" y="1110343"/>
          <a:ext cx="2158341" cy="881118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7030A0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0.09852</cdr:x>
      <cdr:y>0.50659</cdr:y>
    </cdr:from>
    <cdr:to>
      <cdr:x>0.83178</cdr:x>
      <cdr:y>0.5087</cdr:y>
    </cdr:to>
    <cdr:cxnSp macro="">
      <cdr:nvCxnSpPr>
        <cdr:cNvPr id="8" name="Connecteur droit 7">
          <a:extLst xmlns:a="http://schemas.openxmlformats.org/drawingml/2006/main">
            <a:ext uri="{FF2B5EF4-FFF2-40B4-BE49-F238E27FC236}">
              <a16:creationId xmlns:a16="http://schemas.microsoft.com/office/drawing/2014/main" id="{A491E4A5-3245-44F9-9023-AE753C2D74E2}"/>
            </a:ext>
          </a:extLst>
        </cdr:cNvPr>
        <cdr:cNvCxnSpPr/>
      </cdr:nvCxnSpPr>
      <cdr:spPr>
        <a:xfrm xmlns:a="http://schemas.openxmlformats.org/drawingml/2006/main">
          <a:off x="576285" y="1744718"/>
          <a:ext cx="4288971" cy="7257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  <a:prstDash val="dash"/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0.19231</cdr:x>
      <cdr:y>0.79738</cdr:y>
    </cdr:from>
    <cdr:to>
      <cdr:x>0.55758</cdr:x>
      <cdr:y>0.84708</cdr:y>
    </cdr:to>
    <cdr:cxnSp macro="">
      <cdr:nvCxnSpPr>
        <cdr:cNvPr id="16" name="Connecteur droit 15">
          <a:extLst xmlns:a="http://schemas.openxmlformats.org/drawingml/2006/main">
            <a:ext uri="{FF2B5EF4-FFF2-40B4-BE49-F238E27FC236}">
              <a16:creationId xmlns:a16="http://schemas.microsoft.com/office/drawing/2014/main" id="{301DE0A1-B848-6DF1-9E1C-F3CD3F80EFD8}"/>
            </a:ext>
          </a:extLst>
        </cdr:cNvPr>
        <cdr:cNvCxnSpPr/>
      </cdr:nvCxnSpPr>
      <cdr:spPr>
        <a:xfrm xmlns:a="http://schemas.openxmlformats.org/drawingml/2006/main" flipV="1">
          <a:off x="1124857" y="2746204"/>
          <a:ext cx="2136571" cy="171169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EA713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0.08744</cdr:x>
      <cdr:y>0.49702</cdr:y>
    </cdr:from>
    <cdr:to>
      <cdr:x>0.53407</cdr:x>
      <cdr:y>0.62259</cdr:y>
    </cdr:to>
    <cdr:sp macro="" textlink="">
      <cdr:nvSpPr>
        <cdr:cNvPr id="18" name="ZoneTexte 10">
          <a:extLst xmlns:a="http://schemas.openxmlformats.org/drawingml/2006/main">
            <a:ext uri="{FF2B5EF4-FFF2-40B4-BE49-F238E27FC236}">
              <a16:creationId xmlns:a16="http://schemas.microsoft.com/office/drawing/2014/main" id="{BBA52643-5D82-F4EC-8E5F-5DABD5681E8D}"/>
            </a:ext>
          </a:extLst>
        </cdr:cNvPr>
        <cdr:cNvSpPr txBox="1"/>
      </cdr:nvSpPr>
      <cdr:spPr>
        <a:xfrm xmlns:a="http://schemas.openxmlformats.org/drawingml/2006/main">
          <a:off x="511763" y="1744133"/>
          <a:ext cx="2614116" cy="4406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fr-FR" sz="1000">
              <a:solidFill>
                <a:srgbClr val="FF0000"/>
              </a:solidFill>
            </a:rPr>
            <a:t>Objectifs cibles </a:t>
          </a:r>
        </a:p>
        <a:p xmlns:a="http://schemas.openxmlformats.org/drawingml/2006/main">
          <a:r>
            <a:rPr lang="fr-FR" sz="1000">
              <a:solidFill>
                <a:srgbClr val="FF0000"/>
              </a:solidFill>
            </a:rPr>
            <a:t>(-30%  France,</a:t>
          </a:r>
          <a:r>
            <a:rPr lang="fr-FR" sz="1000" baseline="0">
              <a:solidFill>
                <a:srgbClr val="FF0000"/>
              </a:solidFill>
            </a:rPr>
            <a:t> -45% étranger)</a:t>
          </a:r>
          <a:endParaRPr lang="fr-FR" sz="1000">
            <a:solidFill>
              <a:srgbClr val="FF0000"/>
            </a:solidFill>
          </a:endParaRP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0.18382</cdr:x>
      <cdr:y>0.28413</cdr:y>
    </cdr:from>
    <cdr:to>
      <cdr:x>0.44053</cdr:x>
      <cdr:y>0.48332</cdr:y>
    </cdr:to>
    <cdr:cxnSp macro="">
      <cdr:nvCxnSpPr>
        <cdr:cNvPr id="3" name="Connecteur droit 2">
          <a:extLst xmlns:a="http://schemas.openxmlformats.org/drawingml/2006/main">
            <a:ext uri="{FF2B5EF4-FFF2-40B4-BE49-F238E27FC236}">
              <a16:creationId xmlns:a16="http://schemas.microsoft.com/office/drawing/2014/main" id="{726C37D7-AB24-1922-5B62-B43A695EC262}"/>
            </a:ext>
          </a:extLst>
        </cdr:cNvPr>
        <cdr:cNvCxnSpPr/>
      </cdr:nvCxnSpPr>
      <cdr:spPr>
        <a:xfrm xmlns:a="http://schemas.openxmlformats.org/drawingml/2006/main">
          <a:off x="931036" y="1111096"/>
          <a:ext cx="1300198" cy="778901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FF0000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0.18269</cdr:x>
      <cdr:y>0.28221</cdr:y>
    </cdr:from>
    <cdr:to>
      <cdr:x>0.43824</cdr:x>
      <cdr:y>0.50236</cdr:y>
    </cdr:to>
    <cdr:cxnSp macro="">
      <cdr:nvCxnSpPr>
        <cdr:cNvPr id="5" name="Connecteur droit 4">
          <a:extLst xmlns:a="http://schemas.openxmlformats.org/drawingml/2006/main">
            <a:ext uri="{FF2B5EF4-FFF2-40B4-BE49-F238E27FC236}">
              <a16:creationId xmlns:a16="http://schemas.microsoft.com/office/drawing/2014/main" id="{DD7BE5A2-9DA1-BAC3-768F-D22F675A8AAA}"/>
            </a:ext>
          </a:extLst>
        </cdr:cNvPr>
        <cdr:cNvCxnSpPr/>
      </cdr:nvCxnSpPr>
      <cdr:spPr>
        <a:xfrm xmlns:a="http://schemas.openxmlformats.org/drawingml/2006/main">
          <a:off x="925317" y="1103563"/>
          <a:ext cx="1294286" cy="860925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0070C0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1942353</xdr:colOff>
      <xdr:row>35</xdr:row>
      <xdr:rowOff>203685</xdr:rowOff>
    </xdr:from>
    <xdr:to>
      <xdr:col>11</xdr:col>
      <xdr:colOff>554585</xdr:colOff>
      <xdr:row>55</xdr:row>
      <xdr:rowOff>59765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33F3A39E-D24B-4943-BD12-9EA9F0F640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220134</xdr:colOff>
      <xdr:row>11</xdr:row>
      <xdr:rowOff>16933</xdr:rowOff>
    </xdr:from>
    <xdr:to>
      <xdr:col>11</xdr:col>
      <xdr:colOff>12701</xdr:colOff>
      <xdr:row>23</xdr:row>
      <xdr:rowOff>118535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C655929B-195C-CD4C-89F0-A986BA39DA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354911</xdr:colOff>
      <xdr:row>185</xdr:row>
      <xdr:rowOff>29376</xdr:rowOff>
    </xdr:from>
    <xdr:to>
      <xdr:col>10</xdr:col>
      <xdr:colOff>1071084</xdr:colOff>
      <xdr:row>203</xdr:row>
      <xdr:rowOff>139699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547B5594-125D-AA8B-16DF-D0FD412025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404813</xdr:colOff>
      <xdr:row>204</xdr:row>
      <xdr:rowOff>95250</xdr:rowOff>
    </xdr:from>
    <xdr:to>
      <xdr:col>10</xdr:col>
      <xdr:colOff>1120986</xdr:colOff>
      <xdr:row>226</xdr:row>
      <xdr:rowOff>15073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758731CC-4290-4FEE-B5FC-8EC8907B4A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1941589</xdr:colOff>
      <xdr:row>8</xdr:row>
      <xdr:rowOff>113696</xdr:rowOff>
    </xdr:from>
    <xdr:to>
      <xdr:col>11</xdr:col>
      <xdr:colOff>732368</xdr:colOff>
      <xdr:row>33</xdr:row>
      <xdr:rowOff>54429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B1E8DB71-7605-4324-B206-4A80C7711F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4384</xdr:colOff>
      <xdr:row>3</xdr:row>
      <xdr:rowOff>16770</xdr:rowOff>
    </xdr:from>
    <xdr:to>
      <xdr:col>9</xdr:col>
      <xdr:colOff>627701</xdr:colOff>
      <xdr:row>24</xdr:row>
      <xdr:rowOff>30735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2F30D145-24AD-F949-B001-286550623A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832135</xdr:colOff>
      <xdr:row>57</xdr:row>
      <xdr:rowOff>59518</xdr:rowOff>
    </xdr:from>
    <xdr:to>
      <xdr:col>13</xdr:col>
      <xdr:colOff>883478</xdr:colOff>
      <xdr:row>69</xdr:row>
      <xdr:rowOff>55218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438D5E3C-5E4B-E641-973E-D48B6B1B06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76200</xdr:colOff>
      <xdr:row>57</xdr:row>
      <xdr:rowOff>76200</xdr:rowOff>
    </xdr:from>
    <xdr:to>
      <xdr:col>21</xdr:col>
      <xdr:colOff>207514</xdr:colOff>
      <xdr:row>69</xdr:row>
      <xdr:rowOff>73624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320C829C-C312-264F-8B78-5E2C5E1BC5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43050</xdr:colOff>
      <xdr:row>28</xdr:row>
      <xdr:rowOff>129153</xdr:rowOff>
    </xdr:from>
    <xdr:to>
      <xdr:col>10</xdr:col>
      <xdr:colOff>541063</xdr:colOff>
      <xdr:row>50</xdr:row>
      <xdr:rowOff>148284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BF912422-FC32-F94A-9765-933AF70ED5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790222</xdr:colOff>
      <xdr:row>77</xdr:row>
      <xdr:rowOff>14111</xdr:rowOff>
    </xdr:from>
    <xdr:to>
      <xdr:col>7</xdr:col>
      <xdr:colOff>571608</xdr:colOff>
      <xdr:row>96</xdr:row>
      <xdr:rowOff>28687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D48F2D17-CBB9-4B0D-AFDC-E46F8D07FB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0</xdr:colOff>
      <xdr:row>77</xdr:row>
      <xdr:rowOff>0</xdr:rowOff>
    </xdr:from>
    <xdr:to>
      <xdr:col>14</xdr:col>
      <xdr:colOff>767885</xdr:colOff>
      <xdr:row>94</xdr:row>
      <xdr:rowOff>49970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298EE7A4-2CDF-492B-B96C-25A616DFFC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util_scenari_France_PIA_V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elisation"/>
      <sheetName val="HPC"/>
      <sheetName val="Annonces sommet de l'IA"/>
      <sheetName val="Colocation"/>
      <sheetName val="Edge, entreprises"/>
      <sheetName val="Sc &quot;nouveau tendanciel&quot;"/>
      <sheetName val="Sc &quot;anciennement tendanciel&quot;"/>
      <sheetName val="Sc cible"/>
      <sheetName val="Graphiques"/>
      <sheetName val="Messages cles"/>
      <sheetName val="Sources"/>
      <sheetName val="cible"/>
      <sheetName val="Dashboard"/>
      <sheetName val="Edge et entreprises (old)"/>
      <sheetName val="new &quot;BaU&quot; - OLD"/>
      <sheetName val="Charte graphique TSP 2025"/>
      <sheetName val="Vrac OLD"/>
      <sheetName val="new &quot;BaU&quot;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>
        <row r="139">
          <cell r="C139">
            <v>2020</v>
          </cell>
          <cell r="D139">
            <v>2025</v>
          </cell>
          <cell r="E139">
            <v>2030</v>
          </cell>
          <cell r="F139">
            <v>2035</v>
          </cell>
        </row>
        <row r="143">
          <cell r="B143" t="str">
            <v>Scenario nouveau tendanciel - avec annonces Sommet IA</v>
          </cell>
          <cell r="C143">
            <v>10.174248839342404</v>
          </cell>
          <cell r="E143">
            <v>13.951900021104748</v>
          </cell>
          <cell r="F143">
            <v>17.066789728900925</v>
          </cell>
        </row>
        <row r="155">
          <cell r="B155" t="str">
            <v>Scenario cible</v>
          </cell>
          <cell r="C155">
            <v>10.174248839342404</v>
          </cell>
          <cell r="E155">
            <v>5.7143261875396831</v>
          </cell>
          <cell r="F155">
            <v>4.5401008616383223</v>
          </cell>
        </row>
      </sheetData>
      <sheetData sheetId="8">
        <row r="81">
          <cell r="C81">
            <v>2020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Pauline Denis" id="{EC897399-0F5B-9543-88A8-45DAF2A868D2}" userId="S::pauline.denis@theshiftproject.org::bea8883b-70f4-4875-971e-4ac33e595f5e" providerId="AD"/>
</personList>
</file>

<file path=xl/theme/theme1.xml><?xml version="1.0" encoding="utf-8"?>
<a:theme xmlns:a="http://schemas.openxmlformats.org/drawingml/2006/main" name="Thème Office">
  <a:themeElements>
    <a:clrScheme name="TSP - nouveau 2025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0009B5"/>
      </a:accent1>
      <a:accent2>
        <a:srgbClr val="32B0FE"/>
      </a:accent2>
      <a:accent3>
        <a:srgbClr val="C4EAFF"/>
      </a:accent3>
      <a:accent4>
        <a:srgbClr val="F96501"/>
      </a:accent4>
      <a:accent5>
        <a:srgbClr val="000000"/>
      </a:accent5>
      <a:accent6>
        <a:srgbClr val="FEFFFF"/>
      </a:accent6>
      <a:hlink>
        <a:srgbClr val="0099FF"/>
      </a:hlink>
      <a:folHlink>
        <a:srgbClr val="868686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26" dT="2025-06-18T13:39:09.36" personId="{EC897399-0F5B-9543-88A8-45DAF2A868D2}" id="{FEB1D9A6-55F2-D143-8AAC-B83EB86E3D29}">
    <text>occupé ou pas, et si occupé est-ce ça tourne fort (combien de jour dans l'année ça bosse)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19" dT="2025-06-18T13:39:09.36" personId="{EC897399-0F5B-9543-88A8-45DAF2A868D2}" id="{50E9E001-8932-CD43-BB6B-2577CB71517D}">
    <text>occupé ou pas, et si occupé est-ce ça tourne fort (combien de jour dans l'année ça bosse)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D67" dT="2025-06-24T12:38:19.88" personId="{EC897399-0F5B-9543-88A8-45DAF2A868D2}" id="{54607167-41BA-EB43-A1DF-897A16629A76}">
    <text>https://eneroutlook.enerdata.net/forecast-world-co2-intensity-of-electricity-generation.html</text>
    <extLst>
      <x:ext xmlns:xltc2="http://schemas.microsoft.com/office/spreadsheetml/2020/threadedcomments2" uri="{F7C98A9C-CBB3-438F-8F68-D28B6AF4A901}">
        <xltc2:checksum>776081627</xltc2:checksum>
        <xltc2:hyperlink startIndex="0" length="92" url="https://eneroutlook.enerdata.net/forecast-world-co2-intensity-of-electricity-generation.html"/>
      </x:ext>
    </extLst>
  </threadedComment>
  <threadedComment ref="E67" dT="2025-06-24T12:38:19.88" personId="{EC897399-0F5B-9543-88A8-45DAF2A868D2}" id="{1039EFF4-F24F-CB4D-BB24-2604969B86A3}">
    <text>https://eneroutlook.enerdata.net/forecast-world-co2-intensity-of-electricity-generation.html</text>
    <extLst>
      <x:ext xmlns:xltc2="http://schemas.microsoft.com/office/spreadsheetml/2020/threadedcomments2" uri="{F7C98A9C-CBB3-438F-8F68-D28B6AF4A901}">
        <xltc2:checksum>776081627</xltc2:checksum>
        <xltc2:hyperlink startIndex="0" length="92" url="https://eneroutlook.enerdata.net/forecast-world-co2-intensity-of-electricity-generation.html"/>
      </x:ext>
    </extLs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J9" dT="2025-07-26T15:49:27.94" personId="{EC897399-0F5B-9543-88A8-45DAF2A868D2}" id="{E5B0866B-A162-2C47-8F6E-859216878EDA}">
    <text xml:space="preserve">Attention, cette consommation traduit uniquement l'objectif national de -30% d'émission </text>
  </threadedComment>
  <threadedComment ref="O9" dT="2025-07-26T15:50:06.44" personId="{EC897399-0F5B-9543-88A8-45DAF2A868D2}" id="{8B18163D-3AC7-AF46-8B15-1E39A807210E}">
    <text>Attention, cette consommation n'est que le prolongement de la décroissance entre 2020 et 2030 du fait de l'objectif national de -30% d'émission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microsoft.com/office/2017/10/relationships/threadedComment" Target="../threadedComments/threadedComment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7.xml"/><Relationship Id="rId4" Type="http://schemas.microsoft.com/office/2017/10/relationships/threadedComment" Target="../threadedComments/threadedComment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F4E69-B209-2747-BB54-23D39D0F5E39}">
  <sheetPr>
    <tabColor theme="6"/>
  </sheetPr>
  <dimension ref="A1:R118"/>
  <sheetViews>
    <sheetView tabSelected="1" zoomScale="50" zoomScaleNormal="20" workbookViewId="0"/>
  </sheetViews>
  <sheetFormatPr defaultColWidth="10.6640625" defaultRowHeight="15.6"/>
  <cols>
    <col min="1" max="1" width="10.6640625" style="46"/>
    <col min="2" max="2" width="36.6640625" style="46" customWidth="1"/>
    <col min="3" max="3" width="11.6640625" style="46" customWidth="1"/>
    <col min="4" max="5" width="10.6640625" style="46"/>
    <col min="6" max="6" width="11.5546875" style="46" customWidth="1"/>
    <col min="7" max="16384" width="10.6640625" style="46"/>
  </cols>
  <sheetData>
    <row r="1" spans="1:18" ht="17.45">
      <c r="A1" s="141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  <c r="N1" s="141"/>
      <c r="O1" s="141"/>
      <c r="P1" s="141"/>
      <c r="Q1" s="141"/>
      <c r="R1" s="141"/>
    </row>
    <row r="3" spans="1:18">
      <c r="B3" s="66" t="s">
        <v>1</v>
      </c>
      <c r="C3" s="66" t="s">
        <v>2</v>
      </c>
      <c r="D3" s="66" t="s">
        <v>3</v>
      </c>
      <c r="E3" s="66" t="s">
        <v>4</v>
      </c>
      <c r="F3" s="66" t="s">
        <v>5</v>
      </c>
      <c r="G3" s="66" t="s">
        <v>6</v>
      </c>
      <c r="H3" s="66" t="s">
        <v>7</v>
      </c>
      <c r="I3" s="66" t="s">
        <v>8</v>
      </c>
    </row>
    <row r="4" spans="1:18">
      <c r="B4" s="41" t="s">
        <v>9</v>
      </c>
      <c r="C4" s="42">
        <v>1.55</v>
      </c>
      <c r="D4" s="42">
        <v>1.55</v>
      </c>
      <c r="E4" s="42">
        <v>1.55</v>
      </c>
      <c r="F4" s="42">
        <v>1.32</v>
      </c>
      <c r="G4" s="42">
        <v>1.1100000000000001</v>
      </c>
      <c r="H4" s="42">
        <v>1.6</v>
      </c>
      <c r="I4" s="41"/>
    </row>
    <row r="5" spans="1:18">
      <c r="B5" s="41" t="s">
        <v>10</v>
      </c>
      <c r="C5" s="43">
        <v>0.45</v>
      </c>
      <c r="D5" s="43">
        <v>0.4</v>
      </c>
      <c r="E5" s="43">
        <v>0.55000000000000004</v>
      </c>
      <c r="F5" s="43">
        <v>0.55000000000000004</v>
      </c>
      <c r="G5" s="43">
        <v>0.65</v>
      </c>
      <c r="H5" s="43">
        <v>0.45</v>
      </c>
      <c r="I5" s="41"/>
    </row>
    <row r="6" spans="1:18">
      <c r="B6" s="41" t="s">
        <v>11</v>
      </c>
      <c r="C6" s="42">
        <v>0.23</v>
      </c>
      <c r="D6" s="42">
        <v>0.42</v>
      </c>
      <c r="E6" s="42">
        <v>0</v>
      </c>
      <c r="F6" s="42">
        <v>13.4</v>
      </c>
      <c r="G6" s="42">
        <v>0.73</v>
      </c>
      <c r="H6" s="42">
        <v>1.62</v>
      </c>
      <c r="I6" s="41">
        <f>SUM(C6:H6)</f>
        <v>16.400000000000002</v>
      </c>
    </row>
    <row r="7" spans="1:18">
      <c r="B7" s="119" t="s">
        <v>12</v>
      </c>
      <c r="C7" s="44">
        <f t="shared" ref="C7:H7" si="0">C6/(365.25*24)*1000/C5</f>
        <v>5.8306081577813265E-2</v>
      </c>
      <c r="D7" s="44">
        <f t="shared" si="0"/>
        <v>0.11978097193702943</v>
      </c>
      <c r="E7" s="44">
        <f t="shared" si="0"/>
        <v>0</v>
      </c>
      <c r="F7" s="44">
        <f t="shared" si="0"/>
        <v>2.7793333748159208</v>
      </c>
      <c r="G7" s="44">
        <f t="shared" si="0"/>
        <v>0.12811737657733552</v>
      </c>
      <c r="H7" s="44">
        <f t="shared" si="0"/>
        <v>0.41067761806981523</v>
      </c>
      <c r="I7" s="45">
        <f>SUM(C7:H7)</f>
        <v>3.4962154229779143</v>
      </c>
    </row>
    <row r="8" spans="1:18">
      <c r="B8" s="119" t="s">
        <v>13</v>
      </c>
      <c r="C8" s="44">
        <f>C7/C4</f>
        <v>3.7616826824395655E-2</v>
      </c>
      <c r="D8" s="44">
        <f t="shared" ref="D8:H8" si="1">D7/D4</f>
        <v>7.727804641098672E-2</v>
      </c>
      <c r="E8" s="44">
        <f t="shared" si="1"/>
        <v>0</v>
      </c>
      <c r="F8" s="44">
        <f t="shared" si="1"/>
        <v>2.1055555869817582</v>
      </c>
      <c r="G8" s="44">
        <f t="shared" si="1"/>
        <v>0.11542105997958153</v>
      </c>
      <c r="H8" s="44">
        <f t="shared" si="1"/>
        <v>0.25667351129363453</v>
      </c>
      <c r="I8" s="45">
        <f>SUM(C8:H8)</f>
        <v>2.5925450314903569</v>
      </c>
    </row>
    <row r="9" spans="1:18">
      <c r="B9" s="47"/>
      <c r="C9" s="47"/>
      <c r="D9" s="47"/>
      <c r="E9" s="47"/>
      <c r="F9" s="47"/>
      <c r="G9" s="47"/>
      <c r="H9" s="47"/>
    </row>
    <row r="10" spans="1:18">
      <c r="B10" s="66" t="s">
        <v>14</v>
      </c>
      <c r="C10" s="66" t="s">
        <v>2</v>
      </c>
      <c r="D10" s="66" t="s">
        <v>3</v>
      </c>
      <c r="E10" s="66" t="s">
        <v>4</v>
      </c>
      <c r="F10" s="66" t="s">
        <v>5</v>
      </c>
      <c r="G10" s="66" t="s">
        <v>6</v>
      </c>
      <c r="H10" s="66" t="s">
        <v>8</v>
      </c>
    </row>
    <row r="11" spans="1:18">
      <c r="B11" s="41" t="s">
        <v>9</v>
      </c>
      <c r="C11" s="42">
        <v>1.93</v>
      </c>
      <c r="D11" s="42">
        <v>1.93</v>
      </c>
      <c r="E11" s="42">
        <v>1.93</v>
      </c>
      <c r="F11" s="42">
        <v>1.55</v>
      </c>
      <c r="G11" s="42">
        <v>1.17</v>
      </c>
      <c r="H11" s="42"/>
    </row>
    <row r="12" spans="1:18">
      <c r="B12" s="41" t="s">
        <v>10</v>
      </c>
      <c r="C12" s="43">
        <v>0.4</v>
      </c>
      <c r="D12" s="43">
        <v>0.35</v>
      </c>
      <c r="E12" s="43">
        <v>0.5</v>
      </c>
      <c r="F12" s="43">
        <v>0.5</v>
      </c>
      <c r="G12" s="43">
        <v>0.6</v>
      </c>
      <c r="H12" s="43"/>
    </row>
    <row r="13" spans="1:18">
      <c r="B13" s="41" t="s">
        <v>11</v>
      </c>
      <c r="C13" s="42">
        <v>0.66</v>
      </c>
      <c r="D13" s="42">
        <v>0.69</v>
      </c>
      <c r="E13" s="42">
        <v>4.22</v>
      </c>
      <c r="F13" s="42">
        <v>5.62</v>
      </c>
      <c r="G13" s="42">
        <v>0.4</v>
      </c>
      <c r="H13" s="42">
        <f>SUM(C13:G13)</f>
        <v>11.590000000000002</v>
      </c>
    </row>
    <row r="14" spans="1:18">
      <c r="B14" s="119" t="s">
        <v>15</v>
      </c>
      <c r="C14" s="44">
        <f>C13/(365.25*24)*1000/C12</f>
        <v>0.18822724161533197</v>
      </c>
      <c r="D14" s="44">
        <f>D13/(365.25*24)*1000/D12</f>
        <v>0.22489488608585115</v>
      </c>
      <c r="E14" s="44">
        <f>E13/(365.25*24)*1000/E12</f>
        <v>0.96281086014145556</v>
      </c>
      <c r="F14" s="44">
        <f>F13/(365.25*24)*1000/F12</f>
        <v>1.2822267853068676</v>
      </c>
      <c r="G14" s="44">
        <f>G13/(365.25*24)*1000/G12</f>
        <v>7.6051410753669488E-2</v>
      </c>
      <c r="H14" s="45">
        <f>SUM(C14:G14)</f>
        <v>2.734211183903176</v>
      </c>
    </row>
    <row r="15" spans="1:18">
      <c r="B15" s="119" t="s">
        <v>13</v>
      </c>
      <c r="C15" s="44">
        <f>C14/C11</f>
        <v>9.752706819447253E-2</v>
      </c>
      <c r="D15" s="44">
        <f t="shared" ref="D15:G15" si="2">D14/D11</f>
        <v>0.11652584771287625</v>
      </c>
      <c r="E15" s="44">
        <f t="shared" si="2"/>
        <v>0.49886573064324125</v>
      </c>
      <c r="F15" s="44">
        <f t="shared" si="2"/>
        <v>0.82724308729475327</v>
      </c>
      <c r="G15" s="44">
        <f t="shared" si="2"/>
        <v>6.5001205772367093E-2</v>
      </c>
      <c r="H15" s="45">
        <f>SUM(C15:G15)</f>
        <v>1.6051629396177103</v>
      </c>
    </row>
    <row r="16" spans="1:18">
      <c r="B16" s="47"/>
      <c r="C16" s="48"/>
      <c r="D16" s="48"/>
      <c r="E16" s="48"/>
      <c r="F16" s="48"/>
      <c r="G16" s="48"/>
      <c r="H16" s="48"/>
    </row>
    <row r="17" spans="1:18">
      <c r="B17" s="66" t="s">
        <v>16</v>
      </c>
      <c r="C17" s="66">
        <v>2020</v>
      </c>
      <c r="D17" s="66">
        <v>2030</v>
      </c>
      <c r="E17" s="66" t="s">
        <v>17</v>
      </c>
      <c r="F17" s="66" t="s">
        <v>18</v>
      </c>
      <c r="G17" s="47"/>
      <c r="H17" s="47"/>
    </row>
    <row r="18" spans="1:18">
      <c r="B18" s="41" t="s">
        <v>6</v>
      </c>
      <c r="C18" s="44">
        <f>G14</f>
        <v>7.6051410753669488E-2</v>
      </c>
      <c r="D18" s="44">
        <f>G7</f>
        <v>0.12811737657733552</v>
      </c>
      <c r="E18" s="49">
        <f>C18/(C18+C19)</f>
        <v>5.5991041433370664E-2</v>
      </c>
      <c r="F18" s="49">
        <f>D18/(D18+D19)</f>
        <v>4.4065192339351376E-2</v>
      </c>
      <c r="G18" s="47"/>
      <c r="H18" s="47"/>
    </row>
    <row r="19" spans="1:18">
      <c r="B19" s="41" t="s">
        <v>19</v>
      </c>
      <c r="C19" s="44">
        <f>F14</f>
        <v>1.2822267853068676</v>
      </c>
      <c r="D19" s="44">
        <f>F7</f>
        <v>2.7793333748159208</v>
      </c>
      <c r="E19" s="49">
        <f>C19/(C19+C18)</f>
        <v>0.94400895856662936</v>
      </c>
      <c r="F19" s="49">
        <f>D19/(D19+D18)</f>
        <v>0.95593480766064864</v>
      </c>
      <c r="G19" s="47"/>
      <c r="H19" s="47"/>
    </row>
    <row r="20" spans="1:18">
      <c r="B20" s="41" t="s">
        <v>7</v>
      </c>
      <c r="C20" s="44">
        <f>C14+D14+E14</f>
        <v>1.3759329878426387</v>
      </c>
      <c r="D20" s="44">
        <f>H7+D7+C7+E7</f>
        <v>0.58876467158465795</v>
      </c>
      <c r="E20" s="49"/>
      <c r="F20" s="49"/>
      <c r="G20" s="47"/>
      <c r="H20" s="47"/>
    </row>
    <row r="22" spans="1:18" ht="17.45">
      <c r="A22" s="141" t="s">
        <v>20</v>
      </c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</row>
    <row r="23" spans="1:18" ht="17.45">
      <c r="A23" s="120"/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</row>
    <row r="24" spans="1:18" ht="17.45">
      <c r="A24" s="142" t="s">
        <v>21</v>
      </c>
      <c r="B24" s="142"/>
      <c r="C24" s="142"/>
      <c r="D24" s="142"/>
      <c r="E24" s="142"/>
      <c r="F24" s="142"/>
      <c r="G24" s="142"/>
      <c r="H24" s="142"/>
      <c r="I24" s="142"/>
      <c r="J24" s="142"/>
      <c r="K24" s="142"/>
      <c r="L24" s="142"/>
      <c r="M24" s="142"/>
      <c r="N24" s="142"/>
      <c r="O24" s="142"/>
      <c r="P24" s="142"/>
      <c r="Q24" s="142"/>
      <c r="R24" s="120"/>
    </row>
    <row r="26" spans="1:18">
      <c r="B26" s="66" t="s">
        <v>22</v>
      </c>
      <c r="C26" s="66">
        <v>2020</v>
      </c>
      <c r="D26" s="66">
        <v>2024</v>
      </c>
      <c r="E26" s="66">
        <v>2025</v>
      </c>
      <c r="F26" s="66">
        <v>2026</v>
      </c>
      <c r="G26" s="66">
        <v>2027</v>
      </c>
      <c r="H26" s="66">
        <v>2028</v>
      </c>
      <c r="I26" s="66">
        <v>2029</v>
      </c>
      <c r="J26" s="66">
        <v>2030</v>
      </c>
      <c r="K26" s="66">
        <v>2031</v>
      </c>
      <c r="L26" s="66">
        <v>2032</v>
      </c>
      <c r="M26" s="66">
        <v>2033</v>
      </c>
      <c r="N26" s="66">
        <v>2034</v>
      </c>
      <c r="O26" s="66">
        <v>2035</v>
      </c>
    </row>
    <row r="27" spans="1:18">
      <c r="B27" s="41" t="s">
        <v>6</v>
      </c>
      <c r="C27" s="50">
        <f>E18</f>
        <v>5.5991041433370664E-2</v>
      </c>
      <c r="D27" s="51">
        <f>C27 + 4/15*(O27-C27)</f>
        <v>0.12106009705113849</v>
      </c>
      <c r="E27" s="51">
        <f>D27+(O27-C27)/15</f>
        <v>0.13732736095558046</v>
      </c>
      <c r="F27" s="51">
        <f t="shared" ref="F27:N27" si="3">E27+($O$27-$C$27)/15</f>
        <v>0.1535946248600224</v>
      </c>
      <c r="G27" s="51">
        <f t="shared" si="3"/>
        <v>0.16986188876446434</v>
      </c>
      <c r="H27" s="51">
        <f t="shared" si="3"/>
        <v>0.18612915266890628</v>
      </c>
      <c r="I27" s="51">
        <f t="shared" si="3"/>
        <v>0.20239641657334823</v>
      </c>
      <c r="J27" s="51">
        <f t="shared" si="3"/>
        <v>0.21866368047779017</v>
      </c>
      <c r="K27" s="51">
        <f t="shared" si="3"/>
        <v>0.23493094438223211</v>
      </c>
      <c r="L27" s="51">
        <f t="shared" si="3"/>
        <v>0.25119820828667405</v>
      </c>
      <c r="M27" s="51">
        <f t="shared" si="3"/>
        <v>0.26746547219111599</v>
      </c>
      <c r="N27" s="51">
        <f t="shared" si="3"/>
        <v>0.28373273609555794</v>
      </c>
      <c r="O27" s="51">
        <v>0.3</v>
      </c>
    </row>
    <row r="28" spans="1:18">
      <c r="B28" s="41" t="s">
        <v>19</v>
      </c>
      <c r="C28" s="50">
        <f>E19</f>
        <v>0.94400895856662936</v>
      </c>
      <c r="D28" s="51">
        <f>C28 + 4/15*(O28-C28)</f>
        <v>0.87893990294886148</v>
      </c>
      <c r="E28" s="51">
        <f t="shared" ref="E28:N28" si="4">D28+($O$28-$C$28)/15</f>
        <v>0.86267263904441949</v>
      </c>
      <c r="F28" s="51">
        <f t="shared" si="4"/>
        <v>0.84640537513997749</v>
      </c>
      <c r="G28" s="51">
        <f t="shared" si="4"/>
        <v>0.83013811123553549</v>
      </c>
      <c r="H28" s="51">
        <f t="shared" si="4"/>
        <v>0.81387084733109349</v>
      </c>
      <c r="I28" s="51">
        <f t="shared" si="4"/>
        <v>0.7976035834266515</v>
      </c>
      <c r="J28" s="51">
        <f t="shared" si="4"/>
        <v>0.7813363195222095</v>
      </c>
      <c r="K28" s="51">
        <f t="shared" si="4"/>
        <v>0.7650690556177675</v>
      </c>
      <c r="L28" s="51">
        <f t="shared" si="4"/>
        <v>0.7488017917133255</v>
      </c>
      <c r="M28" s="51">
        <f t="shared" si="4"/>
        <v>0.73253452780888351</v>
      </c>
      <c r="N28" s="51">
        <f t="shared" si="4"/>
        <v>0.71626726390444151</v>
      </c>
      <c r="O28" s="51">
        <v>0.7</v>
      </c>
    </row>
    <row r="29" spans="1:18">
      <c r="B29" s="41" t="s">
        <v>8</v>
      </c>
      <c r="C29" s="52">
        <f t="shared" ref="C29:O29" si="5">SUM(C27:C28)</f>
        <v>1</v>
      </c>
      <c r="D29" s="52">
        <f t="shared" si="5"/>
        <v>1</v>
      </c>
      <c r="E29" s="52">
        <f t="shared" si="5"/>
        <v>1</v>
      </c>
      <c r="F29" s="52">
        <f t="shared" si="5"/>
        <v>0.99999999999999989</v>
      </c>
      <c r="G29" s="52">
        <f t="shared" si="5"/>
        <v>0.99999999999999978</v>
      </c>
      <c r="H29" s="52">
        <f t="shared" si="5"/>
        <v>0.99999999999999978</v>
      </c>
      <c r="I29" s="52">
        <f t="shared" si="5"/>
        <v>0.99999999999999978</v>
      </c>
      <c r="J29" s="52">
        <f t="shared" si="5"/>
        <v>0.99999999999999967</v>
      </c>
      <c r="K29" s="52">
        <f t="shared" si="5"/>
        <v>0.99999999999999956</v>
      </c>
      <c r="L29" s="52">
        <f t="shared" si="5"/>
        <v>0.99999999999999956</v>
      </c>
      <c r="M29" s="52">
        <f t="shared" si="5"/>
        <v>0.99999999999999956</v>
      </c>
      <c r="N29" s="52">
        <f t="shared" si="5"/>
        <v>0.99999999999999944</v>
      </c>
      <c r="O29" s="52">
        <f t="shared" si="5"/>
        <v>1</v>
      </c>
    </row>
    <row r="38" spans="1:17" ht="17.45">
      <c r="A38" s="142" t="s">
        <v>23</v>
      </c>
      <c r="B38" s="142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42"/>
      <c r="Q38" s="142"/>
    </row>
    <row r="40" spans="1:17">
      <c r="B40" s="66" t="s">
        <v>24</v>
      </c>
      <c r="C40" s="66">
        <v>2020</v>
      </c>
      <c r="D40" s="66">
        <v>2024</v>
      </c>
      <c r="E40" s="66">
        <v>2025</v>
      </c>
      <c r="F40" s="66">
        <v>2026</v>
      </c>
      <c r="G40" s="66">
        <v>2027</v>
      </c>
      <c r="H40" s="66">
        <v>2028</v>
      </c>
      <c r="I40" s="66">
        <v>2029</v>
      </c>
      <c r="J40" s="66">
        <v>2030</v>
      </c>
      <c r="K40" s="66">
        <v>2031</v>
      </c>
      <c r="L40" s="66">
        <v>2032</v>
      </c>
      <c r="M40" s="66">
        <v>2033</v>
      </c>
      <c r="N40" s="66">
        <v>2034</v>
      </c>
      <c r="O40" s="66">
        <v>2035</v>
      </c>
    </row>
    <row r="41" spans="1:17">
      <c r="B41" s="53" t="s">
        <v>25</v>
      </c>
      <c r="C41" s="54">
        <f>C19+C18</f>
        <v>1.358278196060537</v>
      </c>
      <c r="D41" s="54">
        <f>C41</f>
        <v>1.358278196060537</v>
      </c>
      <c r="E41" s="54">
        <f t="shared" ref="E41:O41" si="6">D41</f>
        <v>1.358278196060537</v>
      </c>
      <c r="F41" s="54">
        <f t="shared" si="6"/>
        <v>1.358278196060537</v>
      </c>
      <c r="G41" s="54">
        <f t="shared" si="6"/>
        <v>1.358278196060537</v>
      </c>
      <c r="H41" s="54">
        <f t="shared" si="6"/>
        <v>1.358278196060537</v>
      </c>
      <c r="I41" s="54">
        <f t="shared" si="6"/>
        <v>1.358278196060537</v>
      </c>
      <c r="J41" s="54">
        <f t="shared" si="6"/>
        <v>1.358278196060537</v>
      </c>
      <c r="K41" s="54">
        <f t="shared" si="6"/>
        <v>1.358278196060537</v>
      </c>
      <c r="L41" s="54">
        <f t="shared" si="6"/>
        <v>1.358278196060537</v>
      </c>
      <c r="M41" s="54">
        <f t="shared" si="6"/>
        <v>1.358278196060537</v>
      </c>
      <c r="N41" s="54">
        <f t="shared" si="6"/>
        <v>1.358278196060537</v>
      </c>
      <c r="O41" s="54">
        <f t="shared" si="6"/>
        <v>1.358278196060537</v>
      </c>
    </row>
    <row r="42" spans="1:17">
      <c r="B42" s="53" t="s">
        <v>26</v>
      </c>
      <c r="C42" s="54"/>
      <c r="D42" s="138">
        <v>0.63</v>
      </c>
      <c r="E42" s="54">
        <v>0.63</v>
      </c>
      <c r="F42" s="54">
        <v>0.63</v>
      </c>
      <c r="G42" s="54">
        <v>0.63</v>
      </c>
      <c r="H42" s="54">
        <v>0.63</v>
      </c>
      <c r="I42" s="54">
        <v>0.63</v>
      </c>
      <c r="J42" s="54">
        <v>0.63</v>
      </c>
      <c r="K42" s="54">
        <v>0.63</v>
      </c>
      <c r="L42" s="54">
        <v>0.63</v>
      </c>
      <c r="M42" s="54">
        <v>0.63</v>
      </c>
      <c r="N42" s="54">
        <v>0.63</v>
      </c>
      <c r="O42" s="54">
        <v>0.63</v>
      </c>
    </row>
    <row r="43" spans="1:17">
      <c r="B43" s="53" t="s">
        <v>27</v>
      </c>
      <c r="C43" s="54"/>
      <c r="D43" s="54"/>
      <c r="E43" s="54">
        <f t="shared" ref="E43:O43" si="7">0.6*D57</f>
        <v>3.5999999999999997E-2</v>
      </c>
      <c r="F43" s="54">
        <f t="shared" si="7"/>
        <v>7.1999999999999995E-2</v>
      </c>
      <c r="G43" s="54">
        <f t="shared" si="7"/>
        <v>0.108</v>
      </c>
      <c r="H43" s="54">
        <f t="shared" si="7"/>
        <v>0.14399999999999999</v>
      </c>
      <c r="I43" s="54">
        <f t="shared" si="7"/>
        <v>0.18</v>
      </c>
      <c r="J43" s="54">
        <f t="shared" si="7"/>
        <v>0.216</v>
      </c>
      <c r="K43" s="54">
        <f t="shared" si="7"/>
        <v>0.252</v>
      </c>
      <c r="L43" s="54">
        <f t="shared" si="7"/>
        <v>0.28799999999999998</v>
      </c>
      <c r="M43" s="54">
        <f t="shared" si="7"/>
        <v>0.32399999999999995</v>
      </c>
      <c r="N43" s="54">
        <f t="shared" si="7"/>
        <v>0.36</v>
      </c>
      <c r="O43" s="54">
        <f t="shared" si="7"/>
        <v>0.36</v>
      </c>
    </row>
    <row r="44" spans="1:17">
      <c r="B44" s="53" t="s">
        <v>28</v>
      </c>
      <c r="C44" s="54"/>
      <c r="D44" s="54"/>
      <c r="E44" s="54"/>
      <c r="F44" s="54"/>
      <c r="G44" s="54"/>
      <c r="H44" s="54">
        <f t="shared" ref="H44:O44" si="8">5*D57</f>
        <v>0.3</v>
      </c>
      <c r="I44" s="54">
        <f t="shared" si="8"/>
        <v>0.6</v>
      </c>
      <c r="J44" s="54">
        <f t="shared" si="8"/>
        <v>0.89999999999999991</v>
      </c>
      <c r="K44" s="54">
        <f t="shared" si="8"/>
        <v>1.2</v>
      </c>
      <c r="L44" s="54">
        <f t="shared" si="8"/>
        <v>1.5</v>
      </c>
      <c r="M44" s="54">
        <f t="shared" si="8"/>
        <v>1.7999999999999998</v>
      </c>
      <c r="N44" s="54">
        <f t="shared" si="8"/>
        <v>2.1</v>
      </c>
      <c r="O44" s="54">
        <f t="shared" si="8"/>
        <v>2.4</v>
      </c>
    </row>
    <row r="45" spans="1:17">
      <c r="B45" s="53" t="s">
        <v>29</v>
      </c>
      <c r="C45" s="54"/>
      <c r="D45" s="54"/>
      <c r="E45" s="54"/>
      <c r="F45" s="54"/>
      <c r="G45" s="54"/>
      <c r="H45" s="54"/>
      <c r="I45" s="54">
        <f t="shared" ref="I45:O45" si="9">5*D57</f>
        <v>0.3</v>
      </c>
      <c r="J45" s="54">
        <f t="shared" si="9"/>
        <v>0.6</v>
      </c>
      <c r="K45" s="54">
        <f t="shared" si="9"/>
        <v>0.89999999999999991</v>
      </c>
      <c r="L45" s="54">
        <f t="shared" si="9"/>
        <v>1.2</v>
      </c>
      <c r="M45" s="54">
        <f t="shared" si="9"/>
        <v>1.5</v>
      </c>
      <c r="N45" s="54">
        <f t="shared" si="9"/>
        <v>1.7999999999999998</v>
      </c>
      <c r="O45" s="54">
        <f t="shared" si="9"/>
        <v>2.1</v>
      </c>
    </row>
    <row r="46" spans="1:17">
      <c r="B46" s="53" t="s">
        <v>30</v>
      </c>
      <c r="C46" s="54">
        <f>SUM(C41:C45)</f>
        <v>1.358278196060537</v>
      </c>
      <c r="D46" s="54">
        <f t="shared" ref="D46:O46" si="10">SUM(D41:D45)</f>
        <v>1.9882781960605369</v>
      </c>
      <c r="E46" s="54">
        <f t="shared" si="10"/>
        <v>2.0242781960605369</v>
      </c>
      <c r="F46" s="54">
        <f t="shared" si="10"/>
        <v>2.060278196060537</v>
      </c>
      <c r="G46" s="54">
        <f t="shared" si="10"/>
        <v>2.096278196060537</v>
      </c>
      <c r="H46" s="54">
        <f t="shared" si="10"/>
        <v>2.4322781960605369</v>
      </c>
      <c r="I46" s="54">
        <f t="shared" si="10"/>
        <v>3.068278196060537</v>
      </c>
      <c r="J46" s="54">
        <f t="shared" si="10"/>
        <v>3.7042781960605371</v>
      </c>
      <c r="K46" s="54">
        <f t="shared" si="10"/>
        <v>4.3402781960605363</v>
      </c>
      <c r="L46" s="54">
        <f t="shared" si="10"/>
        <v>4.9762781960605365</v>
      </c>
      <c r="M46" s="54">
        <f t="shared" si="10"/>
        <v>5.6122781960605366</v>
      </c>
      <c r="N46" s="54">
        <f t="shared" si="10"/>
        <v>6.2482781960605367</v>
      </c>
      <c r="O46" s="54">
        <f t="shared" si="10"/>
        <v>6.8482781960605372</v>
      </c>
    </row>
    <row r="49" spans="1:18">
      <c r="B49" s="66" t="s">
        <v>31</v>
      </c>
      <c r="C49" s="66">
        <v>2020</v>
      </c>
      <c r="D49" s="66">
        <v>2024</v>
      </c>
      <c r="E49" s="66">
        <v>2025</v>
      </c>
      <c r="F49" s="66">
        <v>2026</v>
      </c>
      <c r="G49" s="66">
        <v>2027</v>
      </c>
      <c r="H49" s="66">
        <v>2028</v>
      </c>
      <c r="I49" s="66">
        <v>2029</v>
      </c>
      <c r="J49" s="66">
        <v>2030</v>
      </c>
      <c r="K49" s="66">
        <v>2031</v>
      </c>
      <c r="L49" s="66">
        <v>2032</v>
      </c>
      <c r="M49" s="66">
        <v>2033</v>
      </c>
      <c r="N49" s="66">
        <v>2034</v>
      </c>
      <c r="O49" s="66">
        <v>2035</v>
      </c>
    </row>
    <row r="50" spans="1:18">
      <c r="B50" s="55" t="s">
        <v>32</v>
      </c>
      <c r="C50" s="54"/>
      <c r="D50" s="54"/>
      <c r="E50" s="54"/>
      <c r="F50" s="54"/>
      <c r="G50" s="54"/>
      <c r="H50" s="54">
        <f t="shared" ref="H50:O50" si="11">3*D58</f>
        <v>0.41999999999999993</v>
      </c>
      <c r="I50" s="54">
        <f t="shared" si="11"/>
        <v>0.83999999999999986</v>
      </c>
      <c r="J50" s="54">
        <f t="shared" si="11"/>
        <v>1.2599999999999998</v>
      </c>
      <c r="K50" s="54">
        <f t="shared" si="11"/>
        <v>1.6799999999999997</v>
      </c>
      <c r="L50" s="54">
        <f t="shared" si="11"/>
        <v>2.0999999999999996</v>
      </c>
      <c r="M50" s="54">
        <f t="shared" si="11"/>
        <v>2.0999999999999996</v>
      </c>
      <c r="N50" s="54">
        <f t="shared" si="11"/>
        <v>2.0999999999999996</v>
      </c>
      <c r="O50" s="54">
        <f t="shared" si="11"/>
        <v>2.0999999999999996</v>
      </c>
    </row>
    <row r="51" spans="1:18">
      <c r="B51" s="53" t="s">
        <v>33</v>
      </c>
      <c r="C51" s="54">
        <f t="shared" ref="C51:O51" si="12">C46+C50</f>
        <v>1.358278196060537</v>
      </c>
      <c r="D51" s="54">
        <f t="shared" si="12"/>
        <v>1.9882781960605369</v>
      </c>
      <c r="E51" s="54">
        <f t="shared" si="12"/>
        <v>2.0242781960605369</v>
      </c>
      <c r="F51" s="54">
        <f t="shared" si="12"/>
        <v>2.060278196060537</v>
      </c>
      <c r="G51" s="54">
        <f t="shared" si="12"/>
        <v>2.096278196060537</v>
      </c>
      <c r="H51" s="54">
        <f t="shared" si="12"/>
        <v>2.8522781960605368</v>
      </c>
      <c r="I51" s="54">
        <f t="shared" si="12"/>
        <v>3.9082781960605368</v>
      </c>
      <c r="J51" s="54">
        <f t="shared" si="12"/>
        <v>4.9642781960605369</v>
      </c>
      <c r="K51" s="54">
        <f t="shared" si="12"/>
        <v>6.020278196060536</v>
      </c>
      <c r="L51" s="54">
        <f t="shared" si="12"/>
        <v>7.0762781960605361</v>
      </c>
      <c r="M51" s="54">
        <f t="shared" si="12"/>
        <v>7.7122781960605362</v>
      </c>
      <c r="N51" s="54">
        <f t="shared" si="12"/>
        <v>8.3482781960605372</v>
      </c>
      <c r="O51" s="54">
        <f t="shared" si="12"/>
        <v>8.9482781960605369</v>
      </c>
    </row>
    <row r="53" spans="1:18" ht="17.45">
      <c r="A53" s="142" t="s">
        <v>34</v>
      </c>
      <c r="B53" s="142"/>
      <c r="C53" s="142"/>
      <c r="D53" s="142"/>
      <c r="E53" s="142"/>
      <c r="F53" s="142"/>
      <c r="G53" s="142"/>
      <c r="H53" s="142"/>
      <c r="I53" s="142"/>
      <c r="J53" s="142"/>
      <c r="K53" s="142"/>
      <c r="L53" s="142"/>
      <c r="M53" s="142"/>
      <c r="N53" s="142"/>
      <c r="O53" s="142"/>
      <c r="P53" s="142"/>
      <c r="Q53" s="142"/>
    </row>
    <row r="55" spans="1:18">
      <c r="B55" s="66" t="s">
        <v>35</v>
      </c>
      <c r="C55" s="66">
        <v>0</v>
      </c>
      <c r="D55" s="66">
        <v>1</v>
      </c>
      <c r="E55" s="66">
        <v>2</v>
      </c>
      <c r="F55" s="66">
        <v>3</v>
      </c>
      <c r="G55" s="66">
        <v>4</v>
      </c>
      <c r="H55" s="66">
        <v>5</v>
      </c>
      <c r="I55" s="66">
        <v>6</v>
      </c>
      <c r="J55" s="66">
        <v>7</v>
      </c>
      <c r="K55" s="66">
        <v>8</v>
      </c>
      <c r="L55" s="66">
        <v>9</v>
      </c>
      <c r="M55" s="66">
        <v>10</v>
      </c>
      <c r="N55" s="66">
        <v>11</v>
      </c>
      <c r="O55" s="66">
        <v>12</v>
      </c>
      <c r="P55" s="66">
        <v>13</v>
      </c>
      <c r="Q55" s="66">
        <v>14</v>
      </c>
      <c r="R55" s="66">
        <v>15</v>
      </c>
    </row>
    <row r="56" spans="1:18">
      <c r="B56" s="56" t="s">
        <v>36</v>
      </c>
      <c r="C56" s="57">
        <v>0</v>
      </c>
      <c r="D56" s="57">
        <f>D55*$R$56/15</f>
        <v>2.6666666666666668E-2</v>
      </c>
      <c r="E56" s="57">
        <f t="shared" ref="E56:Q56" si="13">E55*$R$56/15</f>
        <v>5.3333333333333337E-2</v>
      </c>
      <c r="F56" s="57">
        <f t="shared" si="13"/>
        <v>8.0000000000000016E-2</v>
      </c>
      <c r="G56" s="57">
        <f t="shared" si="13"/>
        <v>0.10666666666666667</v>
      </c>
      <c r="H56" s="57">
        <f t="shared" si="13"/>
        <v>0.13333333333333333</v>
      </c>
      <c r="I56" s="57">
        <f t="shared" si="13"/>
        <v>0.16000000000000003</v>
      </c>
      <c r="J56" s="57">
        <f t="shared" si="13"/>
        <v>0.18666666666666668</v>
      </c>
      <c r="K56" s="57">
        <f t="shared" si="13"/>
        <v>0.21333333333333335</v>
      </c>
      <c r="L56" s="57">
        <f t="shared" si="13"/>
        <v>0.24000000000000002</v>
      </c>
      <c r="M56" s="57">
        <f t="shared" si="13"/>
        <v>0.26666666666666666</v>
      </c>
      <c r="N56" s="57">
        <f t="shared" si="13"/>
        <v>0.29333333333333333</v>
      </c>
      <c r="O56" s="57">
        <f t="shared" si="13"/>
        <v>0.32000000000000006</v>
      </c>
      <c r="P56" s="57">
        <f t="shared" si="13"/>
        <v>0.34666666666666668</v>
      </c>
      <c r="Q56" s="57">
        <f t="shared" si="13"/>
        <v>0.37333333333333335</v>
      </c>
      <c r="R56" s="53">
        <v>0.4</v>
      </c>
    </row>
    <row r="57" spans="1:18">
      <c r="B57" s="56" t="s">
        <v>37</v>
      </c>
      <c r="C57" s="57">
        <v>0</v>
      </c>
      <c r="D57" s="57">
        <f>D55*$R$57/10</f>
        <v>0.06</v>
      </c>
      <c r="E57" s="57">
        <f t="shared" ref="E57:L57" si="14">E55*$R$57/10</f>
        <v>0.12</v>
      </c>
      <c r="F57" s="57">
        <f t="shared" si="14"/>
        <v>0.18</v>
      </c>
      <c r="G57" s="57">
        <f t="shared" si="14"/>
        <v>0.24</v>
      </c>
      <c r="H57" s="57">
        <f t="shared" si="14"/>
        <v>0.3</v>
      </c>
      <c r="I57" s="57">
        <f t="shared" si="14"/>
        <v>0.36</v>
      </c>
      <c r="J57" s="57">
        <f t="shared" si="14"/>
        <v>0.42000000000000004</v>
      </c>
      <c r="K57" s="57">
        <f t="shared" si="14"/>
        <v>0.48</v>
      </c>
      <c r="L57" s="57">
        <f t="shared" si="14"/>
        <v>0.53999999999999992</v>
      </c>
      <c r="M57" s="57">
        <v>0.6</v>
      </c>
      <c r="N57" s="57">
        <v>0.6</v>
      </c>
      <c r="O57" s="57">
        <v>0.6</v>
      </c>
      <c r="P57" s="57">
        <v>0.6</v>
      </c>
      <c r="Q57" s="57">
        <v>0.6</v>
      </c>
      <c r="R57" s="57">
        <v>0.6</v>
      </c>
    </row>
    <row r="58" spans="1:18">
      <c r="B58" s="56" t="s">
        <v>38</v>
      </c>
      <c r="C58" s="57">
        <v>0</v>
      </c>
      <c r="D58" s="57">
        <f>$H$58/5*D55</f>
        <v>0.13999999999999999</v>
      </c>
      <c r="E58" s="57">
        <f t="shared" ref="E58:G58" si="15">$H$58/5*E55</f>
        <v>0.27999999999999997</v>
      </c>
      <c r="F58" s="57">
        <f t="shared" si="15"/>
        <v>0.41999999999999993</v>
      </c>
      <c r="G58" s="57">
        <f t="shared" si="15"/>
        <v>0.55999999999999994</v>
      </c>
      <c r="H58" s="57">
        <v>0.7</v>
      </c>
      <c r="I58" s="57">
        <v>0.7</v>
      </c>
      <c r="J58" s="57">
        <v>0.7</v>
      </c>
      <c r="K58" s="57">
        <v>0.7</v>
      </c>
      <c r="L58" s="57">
        <v>0.7</v>
      </c>
      <c r="M58" s="57">
        <v>0.7</v>
      </c>
      <c r="N58" s="57">
        <v>0.7</v>
      </c>
      <c r="O58" s="57">
        <v>0.7</v>
      </c>
      <c r="P58" s="57">
        <v>0.7</v>
      </c>
      <c r="Q58" s="57">
        <v>0.7</v>
      </c>
      <c r="R58" s="57">
        <v>0.7</v>
      </c>
    </row>
    <row r="59" spans="1:18">
      <c r="B59" s="121"/>
      <c r="C59" s="122"/>
      <c r="D59" s="122"/>
      <c r="E59" s="122"/>
      <c r="F59" s="122"/>
      <c r="G59" s="122"/>
      <c r="H59" s="122"/>
      <c r="I59" s="122"/>
      <c r="J59" s="122"/>
      <c r="K59" s="122"/>
      <c r="L59" s="122"/>
      <c r="M59" s="122"/>
      <c r="N59" s="122"/>
      <c r="O59" s="122"/>
      <c r="P59" s="122"/>
      <c r="Q59" s="122"/>
      <c r="R59" s="122"/>
    </row>
    <row r="60" spans="1:18">
      <c r="B60" s="121"/>
      <c r="C60" s="122"/>
      <c r="D60" s="122"/>
      <c r="E60" s="122"/>
      <c r="F60" s="122"/>
      <c r="G60" s="122"/>
      <c r="H60" s="122"/>
      <c r="I60" s="122"/>
      <c r="J60" s="122"/>
      <c r="K60" s="122"/>
      <c r="L60" s="122"/>
      <c r="M60" s="122"/>
      <c r="N60" s="122"/>
      <c r="O60" s="122"/>
      <c r="P60" s="122"/>
      <c r="Q60" s="122"/>
      <c r="R60" s="122"/>
    </row>
    <row r="61" spans="1:18">
      <c r="B61" s="121"/>
      <c r="C61" s="122"/>
      <c r="D61" s="122"/>
      <c r="E61" s="122"/>
      <c r="F61" s="122"/>
      <c r="G61" s="122"/>
      <c r="H61" s="122"/>
      <c r="I61" s="122"/>
      <c r="J61" s="122"/>
      <c r="K61" s="122"/>
      <c r="L61" s="122"/>
      <c r="M61" s="122"/>
      <c r="N61" s="122"/>
      <c r="O61" s="122"/>
      <c r="P61" s="122"/>
      <c r="Q61" s="122"/>
      <c r="R61" s="122"/>
    </row>
    <row r="62" spans="1:18">
      <c r="B62" s="121"/>
      <c r="C62" s="122"/>
      <c r="D62" s="122"/>
      <c r="E62" s="122"/>
      <c r="F62" s="122"/>
      <c r="G62" s="122"/>
      <c r="H62" s="122"/>
      <c r="I62" s="122"/>
      <c r="J62" s="122"/>
      <c r="K62" s="122"/>
      <c r="L62" s="122"/>
      <c r="M62" s="122"/>
      <c r="N62" s="122"/>
      <c r="O62" s="122"/>
      <c r="P62" s="122"/>
      <c r="Q62" s="122"/>
      <c r="R62" s="122"/>
    </row>
    <row r="63" spans="1:18">
      <c r="B63" s="121"/>
      <c r="C63" s="122"/>
      <c r="D63" s="122"/>
      <c r="E63" s="122"/>
      <c r="F63" s="122"/>
      <c r="G63" s="122"/>
      <c r="H63" s="122"/>
      <c r="I63" s="122"/>
      <c r="J63" s="122"/>
      <c r="K63" s="122"/>
      <c r="L63" s="122"/>
      <c r="M63" s="122"/>
      <c r="N63" s="122"/>
      <c r="O63" s="122"/>
      <c r="P63" s="122"/>
      <c r="Q63" s="122"/>
      <c r="R63" s="122"/>
    </row>
    <row r="64" spans="1:18">
      <c r="B64" s="121"/>
      <c r="C64" s="122"/>
      <c r="D64" s="122"/>
      <c r="E64" s="122"/>
      <c r="F64" s="122"/>
      <c r="G64" s="122"/>
      <c r="H64" s="122"/>
      <c r="I64" s="122"/>
      <c r="J64" s="122"/>
      <c r="K64" s="122"/>
      <c r="L64" s="122"/>
      <c r="M64" s="122"/>
      <c r="N64" s="122"/>
      <c r="O64" s="122"/>
      <c r="P64" s="122"/>
      <c r="Q64" s="122"/>
      <c r="R64" s="122"/>
    </row>
    <row r="65" spans="1:18" ht="17.45">
      <c r="A65" s="142" t="s">
        <v>39</v>
      </c>
      <c r="B65" s="142"/>
      <c r="C65" s="142"/>
      <c r="D65" s="142"/>
      <c r="E65" s="142"/>
      <c r="F65" s="142"/>
      <c r="G65" s="142"/>
      <c r="H65" s="142"/>
      <c r="I65" s="142"/>
      <c r="J65" s="142"/>
      <c r="K65" s="142"/>
      <c r="L65" s="142"/>
      <c r="M65" s="142"/>
      <c r="N65" s="142"/>
      <c r="O65" s="142"/>
      <c r="P65" s="142"/>
      <c r="Q65" s="142"/>
    </row>
    <row r="68" spans="1:18">
      <c r="B68" s="66" t="s">
        <v>40</v>
      </c>
      <c r="C68" s="66">
        <v>1</v>
      </c>
      <c r="D68" s="66">
        <v>2</v>
      </c>
      <c r="E68" s="66">
        <v>3</v>
      </c>
      <c r="F68" s="66">
        <v>4</v>
      </c>
      <c r="G68" s="66">
        <v>5</v>
      </c>
      <c r="H68" s="66">
        <v>6</v>
      </c>
      <c r="I68" s="66">
        <v>7</v>
      </c>
      <c r="J68" s="66">
        <v>8</v>
      </c>
      <c r="K68" s="66">
        <v>9</v>
      </c>
      <c r="L68" s="66">
        <v>10</v>
      </c>
      <c r="M68" s="66">
        <v>11</v>
      </c>
      <c r="N68" s="66">
        <v>12</v>
      </c>
      <c r="O68" s="66">
        <v>13</v>
      </c>
      <c r="P68" s="66">
        <v>14</v>
      </c>
      <c r="Q68" s="66">
        <v>15</v>
      </c>
    </row>
    <row r="69" spans="1:18">
      <c r="B69" s="41" t="s">
        <v>6</v>
      </c>
      <c r="C69" s="54">
        <v>0.3</v>
      </c>
      <c r="D69" s="54">
        <f t="shared" ref="D69:K69" si="16">C69+($L$69-$C$69)/9</f>
        <v>0.32777777777777778</v>
      </c>
      <c r="E69" s="54">
        <f t="shared" si="16"/>
        <v>0.35555555555555557</v>
      </c>
      <c r="F69" s="54">
        <f t="shared" si="16"/>
        <v>0.38333333333333336</v>
      </c>
      <c r="G69" s="54">
        <f t="shared" si="16"/>
        <v>0.41111111111111115</v>
      </c>
      <c r="H69" s="54">
        <f t="shared" si="16"/>
        <v>0.43888888888888894</v>
      </c>
      <c r="I69" s="54">
        <f t="shared" si="16"/>
        <v>0.46666666666666673</v>
      </c>
      <c r="J69" s="54">
        <f t="shared" si="16"/>
        <v>0.49444444444444452</v>
      </c>
      <c r="K69" s="54">
        <f t="shared" si="16"/>
        <v>0.52222222222222225</v>
      </c>
      <c r="L69" s="54">
        <v>0.55000000000000004</v>
      </c>
      <c r="M69" s="54">
        <f>L69</f>
        <v>0.55000000000000004</v>
      </c>
      <c r="N69" s="54">
        <f t="shared" ref="N69:O69" si="17">M69</f>
        <v>0.55000000000000004</v>
      </c>
      <c r="O69" s="54">
        <f t="shared" si="17"/>
        <v>0.55000000000000004</v>
      </c>
      <c r="P69" s="54">
        <f>O69</f>
        <v>0.55000000000000004</v>
      </c>
      <c r="Q69" s="54">
        <f>P69</f>
        <v>0.55000000000000004</v>
      </c>
    </row>
    <row r="70" spans="1:18">
      <c r="B70" s="41" t="s">
        <v>19</v>
      </c>
      <c r="C70" s="54">
        <v>0.2</v>
      </c>
      <c r="D70" s="54">
        <f>C70+($Q$70-$C$70)/14</f>
        <v>0.22142857142857145</v>
      </c>
      <c r="E70" s="54">
        <f t="shared" ref="E70:P70" si="18">D70+($Q$70-$C$70)/14</f>
        <v>0.24285714285714288</v>
      </c>
      <c r="F70" s="54">
        <f t="shared" si="18"/>
        <v>0.26428571428571429</v>
      </c>
      <c r="G70" s="54">
        <f t="shared" si="18"/>
        <v>0.2857142857142857</v>
      </c>
      <c r="H70" s="54">
        <f t="shared" si="18"/>
        <v>0.30714285714285711</v>
      </c>
      <c r="I70" s="54">
        <f t="shared" si="18"/>
        <v>0.32857142857142851</v>
      </c>
      <c r="J70" s="54">
        <f t="shared" si="18"/>
        <v>0.34999999999999992</v>
      </c>
      <c r="K70" s="54">
        <f t="shared" si="18"/>
        <v>0.37142857142857133</v>
      </c>
      <c r="L70" s="54">
        <f t="shared" si="18"/>
        <v>0.39285714285714274</v>
      </c>
      <c r="M70" s="54">
        <f t="shared" si="18"/>
        <v>0.41428571428571415</v>
      </c>
      <c r="N70" s="54">
        <f t="shared" si="18"/>
        <v>0.43571428571428555</v>
      </c>
      <c r="O70" s="54">
        <f t="shared" si="18"/>
        <v>0.45714285714285696</v>
      </c>
      <c r="P70" s="54">
        <f t="shared" si="18"/>
        <v>0.47857142857142837</v>
      </c>
      <c r="Q70" s="54">
        <v>0.5</v>
      </c>
    </row>
    <row r="71" spans="1:18">
      <c r="B71" s="41" t="s">
        <v>7</v>
      </c>
      <c r="C71" s="54">
        <v>0.2</v>
      </c>
      <c r="D71" s="54">
        <f>C71+($Q$71-$C$71)/14</f>
        <v>0.21785714285714286</v>
      </c>
      <c r="E71" s="54">
        <f t="shared" ref="E71:O71" si="19">D71+($Q$71-$C$71)/14</f>
        <v>0.23571428571428571</v>
      </c>
      <c r="F71" s="54">
        <f t="shared" si="19"/>
        <v>0.25357142857142856</v>
      </c>
      <c r="G71" s="54">
        <f t="shared" si="19"/>
        <v>0.27142857142857141</v>
      </c>
      <c r="H71" s="54">
        <f t="shared" si="19"/>
        <v>0.28928571428571426</v>
      </c>
      <c r="I71" s="54">
        <f t="shared" si="19"/>
        <v>0.30714285714285711</v>
      </c>
      <c r="J71" s="54">
        <f t="shared" si="19"/>
        <v>0.32499999999999996</v>
      </c>
      <c r="K71" s="54">
        <f t="shared" si="19"/>
        <v>0.3428571428571428</v>
      </c>
      <c r="L71" s="54">
        <f t="shared" si="19"/>
        <v>0.36071428571428565</v>
      </c>
      <c r="M71" s="54">
        <f t="shared" si="19"/>
        <v>0.3785714285714285</v>
      </c>
      <c r="N71" s="54">
        <f t="shared" si="19"/>
        <v>0.39642857142857135</v>
      </c>
      <c r="O71" s="54">
        <f t="shared" si="19"/>
        <v>0.4142857142857142</v>
      </c>
      <c r="P71" s="54">
        <f>O71+($Q$71-$C$71)/14</f>
        <v>0.43214285714285705</v>
      </c>
      <c r="Q71" s="54">
        <v>0.45</v>
      </c>
    </row>
    <row r="72" spans="1:18">
      <c r="B72" s="41" t="s">
        <v>41</v>
      </c>
      <c r="C72" s="53">
        <v>0.3</v>
      </c>
      <c r="D72" s="53">
        <f>C72+($G$72-$C$72)/4</f>
        <v>0.39999999999999997</v>
      </c>
      <c r="E72" s="53">
        <f t="shared" ref="E72:F72" si="20">D72+($G$72-$C$72)/4</f>
        <v>0.49999999999999994</v>
      </c>
      <c r="F72" s="53">
        <f t="shared" si="20"/>
        <v>0.6</v>
      </c>
      <c r="G72" s="53">
        <v>0.7</v>
      </c>
      <c r="H72" s="53">
        <f>G72</f>
        <v>0.7</v>
      </c>
      <c r="I72" s="53">
        <f t="shared" ref="I72:L72" si="21">H72</f>
        <v>0.7</v>
      </c>
      <c r="J72" s="53">
        <f t="shared" si="21"/>
        <v>0.7</v>
      </c>
      <c r="K72" s="53">
        <f t="shared" si="21"/>
        <v>0.7</v>
      </c>
      <c r="L72" s="53">
        <f t="shared" si="21"/>
        <v>0.7</v>
      </c>
      <c r="M72" s="53">
        <f t="shared" ref="M72:Q72" si="22">L72</f>
        <v>0.7</v>
      </c>
      <c r="N72" s="53">
        <f t="shared" si="22"/>
        <v>0.7</v>
      </c>
      <c r="O72" s="53">
        <f t="shared" si="22"/>
        <v>0.7</v>
      </c>
      <c r="P72" s="53">
        <f t="shared" ref="P72" si="23">O72</f>
        <v>0.7</v>
      </c>
      <c r="Q72" s="53">
        <f t="shared" si="22"/>
        <v>0.7</v>
      </c>
    </row>
    <row r="73" spans="1:18">
      <c r="B73" s="47"/>
    </row>
    <row r="74" spans="1:18">
      <c r="B74" s="47"/>
    </row>
    <row r="75" spans="1:18">
      <c r="B75" s="47"/>
    </row>
    <row r="76" spans="1:18">
      <c r="B76" s="47"/>
    </row>
    <row r="77" spans="1:18">
      <c r="B77" s="47"/>
    </row>
    <row r="78" spans="1:18">
      <c r="B78" s="47"/>
    </row>
    <row r="80" spans="1:18" ht="17.45">
      <c r="A80" s="141" t="s">
        <v>42</v>
      </c>
      <c r="B80" s="141"/>
      <c r="C80" s="141"/>
      <c r="D80" s="141"/>
      <c r="E80" s="141"/>
      <c r="F80" s="141"/>
      <c r="G80" s="141"/>
      <c r="H80" s="141"/>
      <c r="I80" s="141"/>
      <c r="J80" s="141"/>
      <c r="K80" s="141"/>
      <c r="L80" s="141"/>
      <c r="M80" s="141"/>
      <c r="N80" s="141"/>
      <c r="O80" s="141"/>
      <c r="P80" s="141"/>
      <c r="Q80" s="141"/>
      <c r="R80" s="141"/>
    </row>
    <row r="83" spans="2:16">
      <c r="B83" s="66" t="s">
        <v>43</v>
      </c>
      <c r="C83" s="66">
        <v>2020</v>
      </c>
      <c r="D83" s="66">
        <v>2024</v>
      </c>
      <c r="E83" s="66">
        <v>2025</v>
      </c>
      <c r="F83" s="66">
        <v>2026</v>
      </c>
      <c r="G83" s="66">
        <v>2027</v>
      </c>
      <c r="H83" s="66">
        <v>2028</v>
      </c>
      <c r="I83" s="66">
        <v>2029</v>
      </c>
      <c r="J83" s="66">
        <v>2030</v>
      </c>
      <c r="K83" s="66">
        <v>2031</v>
      </c>
      <c r="L83" s="66">
        <v>2032</v>
      </c>
      <c r="M83" s="66">
        <v>2033</v>
      </c>
      <c r="N83" s="66">
        <v>2034</v>
      </c>
      <c r="O83" s="66">
        <v>2035</v>
      </c>
    </row>
    <row r="84" spans="2:16">
      <c r="B84" s="53" t="s">
        <v>25</v>
      </c>
      <c r="C84" s="58">
        <f>C41</f>
        <v>1.358278196060537</v>
      </c>
      <c r="D84" s="59">
        <f>C84</f>
        <v>1.358278196060537</v>
      </c>
      <c r="E84" s="59">
        <f t="shared" ref="E84:O84" si="24">D84</f>
        <v>1.358278196060537</v>
      </c>
      <c r="F84" s="59">
        <f t="shared" si="24"/>
        <v>1.358278196060537</v>
      </c>
      <c r="G84" s="59">
        <f t="shared" si="24"/>
        <v>1.358278196060537</v>
      </c>
      <c r="H84" s="59">
        <f t="shared" si="24"/>
        <v>1.358278196060537</v>
      </c>
      <c r="I84" s="59">
        <f t="shared" si="24"/>
        <v>1.358278196060537</v>
      </c>
      <c r="J84" s="59">
        <f t="shared" si="24"/>
        <v>1.358278196060537</v>
      </c>
      <c r="K84" s="59">
        <f t="shared" si="24"/>
        <v>1.358278196060537</v>
      </c>
      <c r="L84" s="59">
        <f t="shared" si="24"/>
        <v>1.358278196060537</v>
      </c>
      <c r="M84" s="59">
        <f t="shared" si="24"/>
        <v>1.358278196060537</v>
      </c>
      <c r="N84" s="59">
        <f t="shared" si="24"/>
        <v>1.358278196060537</v>
      </c>
      <c r="O84" s="59">
        <f t="shared" si="24"/>
        <v>1.358278196060537</v>
      </c>
    </row>
    <row r="85" spans="2:16">
      <c r="B85" s="53" t="s">
        <v>44</v>
      </c>
      <c r="C85" s="59"/>
      <c r="D85" s="58">
        <f t="shared" ref="D85:O85" si="25">D42</f>
        <v>0.63</v>
      </c>
      <c r="E85" s="60">
        <f t="shared" si="25"/>
        <v>0.63</v>
      </c>
      <c r="F85" s="60">
        <f t="shared" si="25"/>
        <v>0.63</v>
      </c>
      <c r="G85" s="60">
        <f t="shared" si="25"/>
        <v>0.63</v>
      </c>
      <c r="H85" s="60">
        <f t="shared" si="25"/>
        <v>0.63</v>
      </c>
      <c r="I85" s="60">
        <f t="shared" si="25"/>
        <v>0.63</v>
      </c>
      <c r="J85" s="60">
        <f t="shared" si="25"/>
        <v>0.63</v>
      </c>
      <c r="K85" s="60">
        <f t="shared" si="25"/>
        <v>0.63</v>
      </c>
      <c r="L85" s="60">
        <f t="shared" si="25"/>
        <v>0.63</v>
      </c>
      <c r="M85" s="60">
        <f t="shared" si="25"/>
        <v>0.63</v>
      </c>
      <c r="N85" s="60">
        <f t="shared" si="25"/>
        <v>0.63</v>
      </c>
      <c r="O85" s="60">
        <f t="shared" si="25"/>
        <v>0.63</v>
      </c>
    </row>
    <row r="86" spans="2:16">
      <c r="B86" s="53" t="s">
        <v>27</v>
      </c>
      <c r="C86" s="59"/>
      <c r="D86" s="59"/>
      <c r="E86" s="59">
        <f>E43</f>
        <v>3.5999999999999997E-2</v>
      </c>
      <c r="F86" s="59">
        <f>E86</f>
        <v>3.5999999999999997E-2</v>
      </c>
      <c r="G86" s="59">
        <f t="shared" ref="G86:O86" si="26">F86</f>
        <v>3.5999999999999997E-2</v>
      </c>
      <c r="H86" s="59">
        <f t="shared" si="26"/>
        <v>3.5999999999999997E-2</v>
      </c>
      <c r="I86" s="59">
        <f t="shared" si="26"/>
        <v>3.5999999999999997E-2</v>
      </c>
      <c r="J86" s="59">
        <f t="shared" si="26"/>
        <v>3.5999999999999997E-2</v>
      </c>
      <c r="K86" s="59">
        <f t="shared" si="26"/>
        <v>3.5999999999999997E-2</v>
      </c>
      <c r="L86" s="59">
        <f t="shared" si="26"/>
        <v>3.5999999999999997E-2</v>
      </c>
      <c r="M86" s="59">
        <f t="shared" si="26"/>
        <v>3.5999999999999997E-2</v>
      </c>
      <c r="N86" s="59">
        <f t="shared" si="26"/>
        <v>3.5999999999999997E-2</v>
      </c>
      <c r="O86" s="59">
        <f t="shared" si="26"/>
        <v>3.5999999999999997E-2</v>
      </c>
    </row>
    <row r="87" spans="2:16">
      <c r="C87" s="61"/>
      <c r="D87" s="61"/>
      <c r="E87" s="61"/>
      <c r="F87" s="61">
        <f>F43-E43</f>
        <v>3.5999999999999997E-2</v>
      </c>
      <c r="G87" s="59">
        <f>F87</f>
        <v>3.5999999999999997E-2</v>
      </c>
      <c r="H87" s="59">
        <f t="shared" ref="H87:O87" si="27">G87</f>
        <v>3.5999999999999997E-2</v>
      </c>
      <c r="I87" s="59">
        <f t="shared" si="27"/>
        <v>3.5999999999999997E-2</v>
      </c>
      <c r="J87" s="59">
        <f t="shared" si="27"/>
        <v>3.5999999999999997E-2</v>
      </c>
      <c r="K87" s="59">
        <f t="shared" si="27"/>
        <v>3.5999999999999997E-2</v>
      </c>
      <c r="L87" s="59">
        <f t="shared" si="27"/>
        <v>3.5999999999999997E-2</v>
      </c>
      <c r="M87" s="59">
        <f t="shared" si="27"/>
        <v>3.5999999999999997E-2</v>
      </c>
      <c r="N87" s="59">
        <f t="shared" si="27"/>
        <v>3.5999999999999997E-2</v>
      </c>
      <c r="O87" s="59">
        <f t="shared" si="27"/>
        <v>3.5999999999999997E-2</v>
      </c>
    </row>
    <row r="88" spans="2:16">
      <c r="C88" s="61"/>
      <c r="D88" s="61"/>
      <c r="E88" s="61"/>
      <c r="F88" s="61"/>
      <c r="G88" s="59">
        <f>G43-F43</f>
        <v>3.6000000000000004E-2</v>
      </c>
      <c r="H88" s="59">
        <f>G88</f>
        <v>3.6000000000000004E-2</v>
      </c>
      <c r="I88" s="59">
        <f t="shared" ref="I88:O88" si="28">H88</f>
        <v>3.6000000000000004E-2</v>
      </c>
      <c r="J88" s="59">
        <f t="shared" si="28"/>
        <v>3.6000000000000004E-2</v>
      </c>
      <c r="K88" s="59">
        <f t="shared" si="28"/>
        <v>3.6000000000000004E-2</v>
      </c>
      <c r="L88" s="59">
        <f t="shared" si="28"/>
        <v>3.6000000000000004E-2</v>
      </c>
      <c r="M88" s="59">
        <f t="shared" si="28"/>
        <v>3.6000000000000004E-2</v>
      </c>
      <c r="N88" s="59">
        <f t="shared" si="28"/>
        <v>3.6000000000000004E-2</v>
      </c>
      <c r="O88" s="59">
        <f t="shared" si="28"/>
        <v>3.6000000000000004E-2</v>
      </c>
    </row>
    <row r="89" spans="2:16">
      <c r="C89" s="61"/>
      <c r="D89" s="61"/>
      <c r="E89" s="61"/>
      <c r="F89" s="61"/>
      <c r="G89" s="61"/>
      <c r="H89" s="59">
        <f>H43-G43</f>
        <v>3.599999999999999E-2</v>
      </c>
      <c r="I89" s="59">
        <f>H89</f>
        <v>3.599999999999999E-2</v>
      </c>
      <c r="J89" s="59">
        <f t="shared" ref="J89:O90" si="29">I89</f>
        <v>3.599999999999999E-2</v>
      </c>
      <c r="K89" s="59">
        <f t="shared" si="29"/>
        <v>3.599999999999999E-2</v>
      </c>
      <c r="L89" s="59">
        <f t="shared" si="29"/>
        <v>3.599999999999999E-2</v>
      </c>
      <c r="M89" s="59">
        <f t="shared" si="29"/>
        <v>3.599999999999999E-2</v>
      </c>
      <c r="N89" s="59">
        <f t="shared" si="29"/>
        <v>3.599999999999999E-2</v>
      </c>
      <c r="O89" s="59">
        <f t="shared" si="29"/>
        <v>3.599999999999999E-2</v>
      </c>
    </row>
    <row r="90" spans="2:16">
      <c r="C90" s="61"/>
      <c r="D90" s="61"/>
      <c r="E90" s="61"/>
      <c r="F90" s="61"/>
      <c r="G90" s="61"/>
      <c r="H90" s="61"/>
      <c r="I90" s="59">
        <f>I43-H43</f>
        <v>3.6000000000000004E-2</v>
      </c>
      <c r="J90" s="59">
        <f>I90</f>
        <v>3.6000000000000004E-2</v>
      </c>
      <c r="K90" s="59">
        <f t="shared" si="29"/>
        <v>3.6000000000000004E-2</v>
      </c>
      <c r="L90" s="59">
        <f t="shared" si="29"/>
        <v>3.6000000000000004E-2</v>
      </c>
      <c r="M90" s="59">
        <f t="shared" si="29"/>
        <v>3.6000000000000004E-2</v>
      </c>
      <c r="N90" s="59">
        <f t="shared" si="29"/>
        <v>3.6000000000000004E-2</v>
      </c>
      <c r="O90" s="59">
        <f t="shared" si="29"/>
        <v>3.6000000000000004E-2</v>
      </c>
    </row>
    <row r="91" spans="2:16">
      <c r="C91" s="61"/>
      <c r="D91" s="61"/>
      <c r="E91" s="61"/>
      <c r="F91" s="61"/>
      <c r="G91" s="61"/>
      <c r="H91" s="61"/>
      <c r="I91" s="61"/>
      <c r="J91" s="59">
        <f>J43-I43</f>
        <v>3.6000000000000004E-2</v>
      </c>
      <c r="K91" s="59">
        <f>J91</f>
        <v>3.6000000000000004E-2</v>
      </c>
      <c r="L91" s="59">
        <f t="shared" ref="L91:O91" si="30">K91</f>
        <v>3.6000000000000004E-2</v>
      </c>
      <c r="M91" s="59">
        <f t="shared" si="30"/>
        <v>3.6000000000000004E-2</v>
      </c>
      <c r="N91" s="59">
        <f t="shared" si="30"/>
        <v>3.6000000000000004E-2</v>
      </c>
      <c r="O91" s="59">
        <f t="shared" si="30"/>
        <v>3.6000000000000004E-2</v>
      </c>
    </row>
    <row r="92" spans="2:16">
      <c r="C92" s="61"/>
      <c r="D92" s="61"/>
      <c r="E92" s="61"/>
      <c r="F92" s="61"/>
      <c r="G92" s="61"/>
      <c r="H92" s="61"/>
      <c r="I92" s="61"/>
      <c r="J92" s="61"/>
      <c r="K92" s="59">
        <f>K43-J43</f>
        <v>3.6000000000000004E-2</v>
      </c>
      <c r="L92" s="59">
        <f>K92</f>
        <v>3.6000000000000004E-2</v>
      </c>
      <c r="M92" s="59">
        <f t="shared" ref="M92:O92" si="31">L92</f>
        <v>3.6000000000000004E-2</v>
      </c>
      <c r="N92" s="59">
        <f t="shared" si="31"/>
        <v>3.6000000000000004E-2</v>
      </c>
      <c r="O92" s="59">
        <f t="shared" si="31"/>
        <v>3.6000000000000004E-2</v>
      </c>
    </row>
    <row r="93" spans="2:16">
      <c r="C93" s="61"/>
      <c r="D93" s="61"/>
      <c r="E93" s="61"/>
      <c r="F93" s="61"/>
      <c r="G93" s="61"/>
      <c r="H93" s="61"/>
      <c r="I93" s="61"/>
      <c r="J93" s="61"/>
      <c r="K93" s="61"/>
      <c r="L93" s="59">
        <f>L43-K43</f>
        <v>3.5999999999999976E-2</v>
      </c>
      <c r="M93" s="59">
        <f>L93</f>
        <v>3.5999999999999976E-2</v>
      </c>
      <c r="N93" s="59">
        <f>M93</f>
        <v>3.5999999999999976E-2</v>
      </c>
      <c r="O93" s="59">
        <f>N93</f>
        <v>3.5999999999999976E-2</v>
      </c>
    </row>
    <row r="94" spans="2:16"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59">
        <f>M43-L43</f>
        <v>3.5999999999999976E-2</v>
      </c>
      <c r="N94" s="59">
        <f>M94</f>
        <v>3.5999999999999976E-2</v>
      </c>
      <c r="O94" s="59">
        <f>N94</f>
        <v>3.5999999999999976E-2</v>
      </c>
      <c r="P94" s="61"/>
    </row>
    <row r="95" spans="2:16"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59">
        <f>N43-M43</f>
        <v>3.6000000000000032E-2</v>
      </c>
      <c r="O95" s="59">
        <f>N95</f>
        <v>3.6000000000000032E-2</v>
      </c>
    </row>
    <row r="96" spans="2:16">
      <c r="B96" s="53" t="s">
        <v>28</v>
      </c>
      <c r="C96" s="59"/>
      <c r="D96" s="59"/>
      <c r="E96" s="59"/>
      <c r="F96" s="59"/>
      <c r="G96" s="59"/>
      <c r="H96" s="59">
        <f>H44</f>
        <v>0.3</v>
      </c>
      <c r="I96" s="62">
        <f>H96</f>
        <v>0.3</v>
      </c>
      <c r="J96" s="62">
        <f t="shared" ref="J96:O96" si="32">I96</f>
        <v>0.3</v>
      </c>
      <c r="K96" s="62">
        <f t="shared" si="32"/>
        <v>0.3</v>
      </c>
      <c r="L96" s="62">
        <f t="shared" si="32"/>
        <v>0.3</v>
      </c>
      <c r="M96" s="62">
        <f t="shared" si="32"/>
        <v>0.3</v>
      </c>
      <c r="N96" s="63">
        <f t="shared" si="32"/>
        <v>0.3</v>
      </c>
      <c r="O96" s="63">
        <f t="shared" si="32"/>
        <v>0.3</v>
      </c>
    </row>
    <row r="97" spans="2:15">
      <c r="C97" s="61"/>
      <c r="D97" s="61"/>
      <c r="E97" s="61"/>
      <c r="F97" s="61"/>
      <c r="G97" s="61"/>
      <c r="H97" s="61"/>
      <c r="I97" s="59">
        <f>I44-H44</f>
        <v>0.3</v>
      </c>
      <c r="J97" s="59">
        <f>I97</f>
        <v>0.3</v>
      </c>
      <c r="K97" s="59">
        <f t="shared" ref="K97:O97" si="33">J97</f>
        <v>0.3</v>
      </c>
      <c r="L97" s="59">
        <f t="shared" si="33"/>
        <v>0.3</v>
      </c>
      <c r="M97" s="59">
        <f t="shared" si="33"/>
        <v>0.3</v>
      </c>
      <c r="N97" s="59">
        <f t="shared" si="33"/>
        <v>0.3</v>
      </c>
      <c r="O97" s="59">
        <f t="shared" si="33"/>
        <v>0.3</v>
      </c>
    </row>
    <row r="98" spans="2:15">
      <c r="C98" s="61"/>
      <c r="D98" s="61"/>
      <c r="E98" s="61"/>
      <c r="F98" s="61"/>
      <c r="G98" s="61"/>
      <c r="H98" s="61"/>
      <c r="I98" s="61"/>
      <c r="J98" s="59">
        <f>J44-I44</f>
        <v>0.29999999999999993</v>
      </c>
      <c r="K98" s="59">
        <f>J98</f>
        <v>0.29999999999999993</v>
      </c>
      <c r="L98" s="59">
        <f t="shared" ref="L98:O98" si="34">K98</f>
        <v>0.29999999999999993</v>
      </c>
      <c r="M98" s="59">
        <f t="shared" si="34"/>
        <v>0.29999999999999993</v>
      </c>
      <c r="N98" s="59">
        <f t="shared" si="34"/>
        <v>0.29999999999999993</v>
      </c>
      <c r="O98" s="59">
        <f t="shared" si="34"/>
        <v>0.29999999999999993</v>
      </c>
    </row>
    <row r="99" spans="2:15">
      <c r="C99" s="61"/>
      <c r="D99" s="61"/>
      <c r="E99" s="61"/>
      <c r="F99" s="61"/>
      <c r="G99" s="61"/>
      <c r="H99" s="61"/>
      <c r="I99" s="61"/>
      <c r="J99" s="61"/>
      <c r="K99" s="59">
        <f>K44-J44</f>
        <v>0.30000000000000004</v>
      </c>
      <c r="L99" s="59">
        <f>K99</f>
        <v>0.30000000000000004</v>
      </c>
      <c r="M99" s="59">
        <f t="shared" ref="M99:O99" si="35">L99</f>
        <v>0.30000000000000004</v>
      </c>
      <c r="N99" s="59">
        <f t="shared" si="35"/>
        <v>0.30000000000000004</v>
      </c>
      <c r="O99" s="59">
        <f t="shared" si="35"/>
        <v>0.30000000000000004</v>
      </c>
    </row>
    <row r="100" spans="2:15">
      <c r="C100" s="61"/>
      <c r="D100" s="61"/>
      <c r="E100" s="61"/>
      <c r="F100" s="61"/>
      <c r="G100" s="61"/>
      <c r="H100" s="61"/>
      <c r="I100" s="61"/>
      <c r="J100" s="61"/>
      <c r="K100" s="61"/>
      <c r="L100" s="59">
        <f>L44-K44</f>
        <v>0.30000000000000004</v>
      </c>
      <c r="M100" s="59">
        <f>L100</f>
        <v>0.30000000000000004</v>
      </c>
      <c r="N100" s="59">
        <f>M100</f>
        <v>0.30000000000000004</v>
      </c>
      <c r="O100" s="59">
        <f>N100</f>
        <v>0.30000000000000004</v>
      </c>
    </row>
    <row r="101" spans="2:15"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59">
        <f>M44-L44</f>
        <v>0.29999999999999982</v>
      </c>
      <c r="N101" s="59">
        <f>M101</f>
        <v>0.29999999999999982</v>
      </c>
      <c r="O101" s="59">
        <f>N101</f>
        <v>0.29999999999999982</v>
      </c>
    </row>
    <row r="102" spans="2:15"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117">
        <f>N44-M44</f>
        <v>0.30000000000000027</v>
      </c>
      <c r="O102" s="59">
        <f>N102</f>
        <v>0.30000000000000027</v>
      </c>
    </row>
    <row r="103" spans="2:15"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O103" s="54">
        <f>O44-N44</f>
        <v>0.29999999999999982</v>
      </c>
    </row>
    <row r="104" spans="2:15">
      <c r="B104" s="53" t="s">
        <v>29</v>
      </c>
      <c r="C104" s="59"/>
      <c r="D104" s="59"/>
      <c r="E104" s="59"/>
      <c r="F104" s="59"/>
      <c r="G104" s="59"/>
      <c r="H104" s="59"/>
      <c r="I104" s="59">
        <f>I45</f>
        <v>0.3</v>
      </c>
      <c r="J104" s="62">
        <f>I104</f>
        <v>0.3</v>
      </c>
      <c r="K104" s="62">
        <f t="shared" ref="K104:O104" si="36">J104</f>
        <v>0.3</v>
      </c>
      <c r="L104" s="62">
        <f t="shared" si="36"/>
        <v>0.3</v>
      </c>
      <c r="M104" s="65">
        <f t="shared" si="36"/>
        <v>0.3</v>
      </c>
      <c r="N104" s="65">
        <f t="shared" si="36"/>
        <v>0.3</v>
      </c>
      <c r="O104" s="59">
        <f t="shared" si="36"/>
        <v>0.3</v>
      </c>
    </row>
    <row r="105" spans="2:15">
      <c r="C105" s="61"/>
      <c r="D105" s="61"/>
      <c r="E105" s="61"/>
      <c r="F105" s="61"/>
      <c r="G105" s="61"/>
      <c r="H105" s="61"/>
      <c r="I105" s="61"/>
      <c r="J105" s="59">
        <f>J45-I45</f>
        <v>0.3</v>
      </c>
      <c r="K105" s="59">
        <f>J105</f>
        <v>0.3</v>
      </c>
      <c r="L105" s="59">
        <f t="shared" ref="L105:O105" si="37">K105</f>
        <v>0.3</v>
      </c>
      <c r="M105" s="59">
        <f t="shared" si="37"/>
        <v>0.3</v>
      </c>
      <c r="N105" s="117">
        <f t="shared" si="37"/>
        <v>0.3</v>
      </c>
      <c r="O105" s="59">
        <f t="shared" si="37"/>
        <v>0.3</v>
      </c>
    </row>
    <row r="106" spans="2:15">
      <c r="C106" s="61"/>
      <c r="D106" s="61"/>
      <c r="E106" s="61"/>
      <c r="F106" s="61"/>
      <c r="G106" s="61"/>
      <c r="H106" s="61"/>
      <c r="I106" s="61"/>
      <c r="J106" s="61"/>
      <c r="K106" s="59">
        <f>K45-J45</f>
        <v>0.29999999999999993</v>
      </c>
      <c r="L106" s="59">
        <f>K106</f>
        <v>0.29999999999999993</v>
      </c>
      <c r="M106" s="59">
        <f t="shared" ref="M106:O106" si="38">L106</f>
        <v>0.29999999999999993</v>
      </c>
      <c r="N106" s="117">
        <f t="shared" si="38"/>
        <v>0.29999999999999993</v>
      </c>
      <c r="O106" s="59">
        <f t="shared" si="38"/>
        <v>0.29999999999999993</v>
      </c>
    </row>
    <row r="107" spans="2:15">
      <c r="C107" s="61"/>
      <c r="D107" s="61"/>
      <c r="E107" s="61"/>
      <c r="F107" s="61"/>
      <c r="G107" s="61"/>
      <c r="H107" s="61"/>
      <c r="I107" s="61"/>
      <c r="J107" s="61"/>
      <c r="K107" s="61"/>
      <c r="L107" s="59">
        <f>L45-K45</f>
        <v>0.30000000000000004</v>
      </c>
      <c r="M107" s="59">
        <f>L107</f>
        <v>0.30000000000000004</v>
      </c>
      <c r="N107" s="117">
        <f>M107</f>
        <v>0.30000000000000004</v>
      </c>
      <c r="O107" s="59">
        <f>N107</f>
        <v>0.30000000000000004</v>
      </c>
    </row>
    <row r="108" spans="2:15">
      <c r="C108" s="61"/>
      <c r="D108" s="61"/>
      <c r="E108" s="61"/>
      <c r="F108" s="61"/>
      <c r="G108" s="61"/>
      <c r="H108" s="61"/>
      <c r="I108" s="61"/>
      <c r="J108" s="61"/>
      <c r="K108" s="61"/>
      <c r="L108" s="61"/>
      <c r="M108" s="59">
        <f>M45-L45</f>
        <v>0.30000000000000004</v>
      </c>
      <c r="N108" s="117">
        <f>M108</f>
        <v>0.30000000000000004</v>
      </c>
      <c r="O108" s="59">
        <f>N108</f>
        <v>0.30000000000000004</v>
      </c>
    </row>
    <row r="109" spans="2:15">
      <c r="C109" s="61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117">
        <f>N44-M44</f>
        <v>0.30000000000000027</v>
      </c>
      <c r="O109" s="59">
        <f>N109</f>
        <v>0.30000000000000027</v>
      </c>
    </row>
    <row r="110" spans="2:15">
      <c r="C110" s="61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O110" s="59">
        <f>O45-N45</f>
        <v>0.30000000000000027</v>
      </c>
    </row>
    <row r="111" spans="2:15">
      <c r="B111" s="53" t="s">
        <v>32</v>
      </c>
      <c r="C111" s="59"/>
      <c r="D111" s="59"/>
      <c r="E111" s="59"/>
      <c r="F111" s="59"/>
      <c r="G111" s="59"/>
      <c r="H111" s="59">
        <f>H50</f>
        <v>0.41999999999999993</v>
      </c>
      <c r="I111" s="59">
        <f>H111</f>
        <v>0.41999999999999993</v>
      </c>
      <c r="J111" s="59">
        <f t="shared" ref="J111:L111" si="39">I111</f>
        <v>0.41999999999999993</v>
      </c>
      <c r="K111" s="59">
        <f t="shared" si="39"/>
        <v>0.41999999999999993</v>
      </c>
      <c r="L111" s="59">
        <f t="shared" si="39"/>
        <v>0.41999999999999993</v>
      </c>
      <c r="M111" s="59">
        <f t="shared" ref="M111:M114" si="40">L111</f>
        <v>0.41999999999999993</v>
      </c>
      <c r="N111" s="117">
        <f t="shared" ref="N111:N115" si="41">M111</f>
        <v>0.41999999999999993</v>
      </c>
      <c r="O111" s="59">
        <f t="shared" ref="O111:O115" si="42">N111</f>
        <v>0.41999999999999993</v>
      </c>
    </row>
    <row r="112" spans="2:15">
      <c r="C112" s="61"/>
      <c r="D112" s="61"/>
      <c r="E112" s="61"/>
      <c r="F112" s="61"/>
      <c r="G112" s="61"/>
      <c r="H112" s="61"/>
      <c r="I112" s="59">
        <f>I50-H50</f>
        <v>0.41999999999999993</v>
      </c>
      <c r="J112" s="59">
        <f>I112</f>
        <v>0.41999999999999993</v>
      </c>
      <c r="K112" s="59">
        <f t="shared" ref="K112:L112" si="43">J112</f>
        <v>0.41999999999999993</v>
      </c>
      <c r="L112" s="59">
        <f t="shared" si="43"/>
        <v>0.41999999999999993</v>
      </c>
      <c r="M112" s="59">
        <f t="shared" si="40"/>
        <v>0.41999999999999993</v>
      </c>
      <c r="N112" s="117">
        <f t="shared" si="41"/>
        <v>0.41999999999999993</v>
      </c>
      <c r="O112" s="59">
        <f t="shared" si="42"/>
        <v>0.41999999999999993</v>
      </c>
    </row>
    <row r="113" spans="2:15">
      <c r="C113" s="61"/>
      <c r="D113" s="61"/>
      <c r="E113" s="61"/>
      <c r="F113" s="61"/>
      <c r="G113" s="61"/>
      <c r="H113" s="61"/>
      <c r="I113" s="61"/>
      <c r="J113" s="59">
        <f>J50-I50</f>
        <v>0.41999999999999993</v>
      </c>
      <c r="K113" s="59">
        <f>J113</f>
        <v>0.41999999999999993</v>
      </c>
      <c r="L113" s="59">
        <f>K113</f>
        <v>0.41999999999999993</v>
      </c>
      <c r="M113" s="59">
        <f t="shared" si="40"/>
        <v>0.41999999999999993</v>
      </c>
      <c r="N113" s="117">
        <f t="shared" si="41"/>
        <v>0.41999999999999993</v>
      </c>
      <c r="O113" s="59">
        <f t="shared" si="42"/>
        <v>0.41999999999999993</v>
      </c>
    </row>
    <row r="114" spans="2:15">
      <c r="C114" s="61"/>
      <c r="D114" s="61"/>
      <c r="E114" s="61"/>
      <c r="F114" s="61"/>
      <c r="G114" s="61"/>
      <c r="H114" s="61"/>
      <c r="I114" s="61"/>
      <c r="J114" s="61"/>
      <c r="K114" s="59">
        <f>K50-J50</f>
        <v>0.41999999999999993</v>
      </c>
      <c r="L114" s="59">
        <f>K114</f>
        <v>0.41999999999999993</v>
      </c>
      <c r="M114" s="59">
        <f t="shared" si="40"/>
        <v>0.41999999999999993</v>
      </c>
      <c r="N114" s="117">
        <f t="shared" si="41"/>
        <v>0.41999999999999993</v>
      </c>
      <c r="O114" s="59">
        <f t="shared" si="42"/>
        <v>0.41999999999999993</v>
      </c>
    </row>
    <row r="115" spans="2:15">
      <c r="C115" s="61"/>
      <c r="D115" s="61"/>
      <c r="E115" s="61"/>
      <c r="F115" s="61"/>
      <c r="G115" s="61"/>
      <c r="H115" s="61"/>
      <c r="I115" s="61"/>
      <c r="J115" s="61"/>
      <c r="K115" s="61"/>
      <c r="L115" s="59">
        <f>L50-K50</f>
        <v>0.41999999999999993</v>
      </c>
      <c r="M115" s="59">
        <f>L115</f>
        <v>0.41999999999999993</v>
      </c>
      <c r="N115" s="59">
        <f t="shared" si="41"/>
        <v>0.41999999999999993</v>
      </c>
      <c r="O115" s="59">
        <f t="shared" si="42"/>
        <v>0.41999999999999993</v>
      </c>
    </row>
    <row r="116" spans="2:15">
      <c r="C116" s="61"/>
      <c r="D116" s="61"/>
      <c r="E116" s="61"/>
      <c r="F116" s="61"/>
      <c r="G116" s="61"/>
      <c r="H116" s="61"/>
      <c r="I116" s="61"/>
      <c r="J116" s="61"/>
      <c r="K116" s="61"/>
      <c r="L116" s="63"/>
      <c r="M116" s="61"/>
      <c r="N116" s="61"/>
      <c r="O116" s="61"/>
    </row>
    <row r="117" spans="2:15">
      <c r="B117" s="55" t="s">
        <v>30</v>
      </c>
      <c r="C117" s="54">
        <f t="shared" ref="C117:O117" si="44">C46</f>
        <v>1.358278196060537</v>
      </c>
      <c r="D117" s="54">
        <f t="shared" si="44"/>
        <v>1.9882781960605369</v>
      </c>
      <c r="E117" s="54">
        <f t="shared" si="44"/>
        <v>2.0242781960605369</v>
      </c>
      <c r="F117" s="54">
        <f t="shared" si="44"/>
        <v>2.060278196060537</v>
      </c>
      <c r="G117" s="54">
        <f t="shared" si="44"/>
        <v>2.096278196060537</v>
      </c>
      <c r="H117" s="54">
        <f t="shared" si="44"/>
        <v>2.4322781960605369</v>
      </c>
      <c r="I117" s="54">
        <f t="shared" si="44"/>
        <v>3.068278196060537</v>
      </c>
      <c r="J117" s="54">
        <f t="shared" si="44"/>
        <v>3.7042781960605371</v>
      </c>
      <c r="K117" s="54">
        <f t="shared" si="44"/>
        <v>4.3402781960605363</v>
      </c>
      <c r="L117" s="54">
        <f t="shared" si="44"/>
        <v>4.9762781960605365</v>
      </c>
      <c r="M117" s="54">
        <f t="shared" si="44"/>
        <v>5.6122781960605366</v>
      </c>
      <c r="N117" s="54">
        <f t="shared" si="44"/>
        <v>6.2482781960605367</v>
      </c>
      <c r="O117" s="54">
        <f t="shared" si="44"/>
        <v>6.8482781960605372</v>
      </c>
    </row>
    <row r="118" spans="2:15">
      <c r="B118" s="53" t="s">
        <v>33</v>
      </c>
      <c r="C118" s="54">
        <f t="shared" ref="C118:N118" si="45">SUM(C84:C115)</f>
        <v>1.358278196060537</v>
      </c>
      <c r="D118" s="54">
        <f t="shared" si="45"/>
        <v>1.9882781960605369</v>
      </c>
      <c r="E118" s="54">
        <f t="shared" si="45"/>
        <v>2.0242781960605369</v>
      </c>
      <c r="F118" s="54">
        <f t="shared" si="45"/>
        <v>2.060278196060537</v>
      </c>
      <c r="G118" s="54">
        <f t="shared" si="45"/>
        <v>2.096278196060537</v>
      </c>
      <c r="H118" s="54">
        <f t="shared" si="45"/>
        <v>2.8522781960605368</v>
      </c>
      <c r="I118" s="54">
        <f t="shared" si="45"/>
        <v>3.9082781960605364</v>
      </c>
      <c r="J118" s="54">
        <f t="shared" si="45"/>
        <v>4.964278196060536</v>
      </c>
      <c r="K118" s="54">
        <f t="shared" si="45"/>
        <v>6.020278196060536</v>
      </c>
      <c r="L118" s="54">
        <f t="shared" si="45"/>
        <v>7.0762781960605352</v>
      </c>
      <c r="M118" s="54">
        <f t="shared" si="45"/>
        <v>7.7122781960605353</v>
      </c>
      <c r="N118" s="54">
        <f t="shared" si="45"/>
        <v>8.3482781960605354</v>
      </c>
      <c r="O118" s="54">
        <f>SUM(O84:O115)</f>
        <v>8.9482781960605369</v>
      </c>
    </row>
  </sheetData>
  <mergeCells count="7">
    <mergeCell ref="A80:R80"/>
    <mergeCell ref="A22:R22"/>
    <mergeCell ref="A1:R1"/>
    <mergeCell ref="A24:Q24"/>
    <mergeCell ref="A38:Q38"/>
    <mergeCell ref="A53:Q53"/>
    <mergeCell ref="A65:Q65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12A366-8F84-3644-86FD-7861936392EB}">
  <sheetPr>
    <tabColor theme="7"/>
  </sheetPr>
  <dimension ref="A2:O75"/>
  <sheetViews>
    <sheetView zoomScale="59" zoomScaleNormal="59" workbookViewId="0">
      <selection activeCell="A2" sqref="A2:O2"/>
    </sheetView>
  </sheetViews>
  <sheetFormatPr defaultColWidth="11.5546875" defaultRowHeight="15.6"/>
  <sheetData>
    <row r="2" spans="1:15" ht="18.600000000000001">
      <c r="A2" s="154" t="s">
        <v>179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  <c r="O2" s="154"/>
    </row>
    <row r="27" spans="1:15" ht="18.600000000000001">
      <c r="A27" s="154" t="s">
        <v>180</v>
      </c>
      <c r="B27" s="154"/>
      <c r="C27" s="154"/>
      <c r="D27" s="154"/>
      <c r="E27" s="154"/>
      <c r="F27" s="154"/>
      <c r="G27" s="154"/>
      <c r="H27" s="154"/>
      <c r="I27" s="154"/>
      <c r="J27" s="154"/>
      <c r="K27" s="154"/>
      <c r="L27" s="154"/>
      <c r="M27" s="154"/>
      <c r="N27" s="154"/>
      <c r="O27" s="154"/>
    </row>
    <row r="55" spans="1:15" ht="18.600000000000001">
      <c r="A55" s="154" t="s">
        <v>181</v>
      </c>
      <c r="B55" s="154"/>
      <c r="C55" s="154"/>
      <c r="D55" s="154"/>
      <c r="E55" s="154"/>
      <c r="F55" s="154"/>
      <c r="G55" s="154"/>
      <c r="H55" s="154"/>
      <c r="I55" s="154"/>
      <c r="J55" s="154"/>
      <c r="K55" s="154"/>
      <c r="L55" s="154"/>
      <c r="M55" s="154"/>
      <c r="N55" s="154"/>
      <c r="O55" s="154"/>
    </row>
    <row r="59" spans="1:15">
      <c r="B59" s="129" t="s">
        <v>11</v>
      </c>
      <c r="C59" s="130">
        <v>2020</v>
      </c>
      <c r="D59" s="131">
        <v>2030</v>
      </c>
      <c r="E59" s="132">
        <v>2035</v>
      </c>
    </row>
    <row r="60" spans="1:15" ht="46.5">
      <c r="B60" s="133" t="s">
        <v>182</v>
      </c>
      <c r="C60" s="134">
        <f>'Sc nouveau tendanciel'!C9</f>
        <v>8.335513605442177</v>
      </c>
      <c r="D60" s="134">
        <f>'Sc nouveau tendanciel'!J9</f>
        <v>23.306278331848475</v>
      </c>
      <c r="E60" s="134">
        <f>'Sc nouveau tendanciel'!O9</f>
        <v>45.114233407207493</v>
      </c>
    </row>
    <row r="61" spans="1:15">
      <c r="B61" s="133" t="s">
        <v>183</v>
      </c>
      <c r="C61" s="134">
        <f>'Sc cible'!C112</f>
        <v>13.33</v>
      </c>
      <c r="D61" s="134">
        <f>'Sc cible'!E112</f>
        <v>30.205684851759525</v>
      </c>
      <c r="E61" s="134">
        <f>'Sc cible'!F112</f>
        <v>52.127539830825611</v>
      </c>
    </row>
    <row r="62" spans="1:15" ht="30.95">
      <c r="B62" s="133" t="s">
        <v>184</v>
      </c>
      <c r="C62" s="13">
        <f>'Sc cible'!C9</f>
        <v>8.335513605442177</v>
      </c>
      <c r="D62" s="13">
        <f>'Sc cible'!J9</f>
        <v>9.2958843520260448</v>
      </c>
      <c r="E62" s="13">
        <f>'Sc cible'!O9</f>
        <v>9.7760697253179778</v>
      </c>
    </row>
    <row r="65" spans="1:15">
      <c r="B65" s="135"/>
    </row>
    <row r="68" spans="1:15">
      <c r="B68" s="129" t="s">
        <v>162</v>
      </c>
      <c r="C68" s="130">
        <v>2020</v>
      </c>
      <c r="D68" s="131">
        <v>2030</v>
      </c>
      <c r="E68" s="130">
        <v>2035</v>
      </c>
    </row>
    <row r="69" spans="1:15" ht="46.5">
      <c r="B69" s="133" t="s">
        <v>185</v>
      </c>
      <c r="C69" s="134">
        <f>'Sc cible'!C167</f>
        <v>0.78992883934240365</v>
      </c>
      <c r="D69" s="134">
        <f>'Sc cible'!E167</f>
        <v>1.3863351227727869</v>
      </c>
      <c r="E69" s="134">
        <f>'Sc cible'!F167</f>
        <v>1.8455480982998467</v>
      </c>
    </row>
    <row r="70" spans="1:15" ht="46.5">
      <c r="B70" s="133" t="s">
        <v>186</v>
      </c>
      <c r="C70" s="134">
        <f>'Sc cible'!C168</f>
        <v>0.78992883934240365</v>
      </c>
      <c r="D70" s="134">
        <f>'Sc cible'!E168</f>
        <v>1.1235339491727869</v>
      </c>
      <c r="E70" s="134">
        <f>'Sc cible'!F168</f>
        <v>1.3334637996998464</v>
      </c>
    </row>
    <row r="71" spans="1:15" ht="30.95">
      <c r="B71" s="133" t="s">
        <v>187</v>
      </c>
      <c r="C71" s="13">
        <f>'Sc cible'!C161</f>
        <v>10.174248839342404</v>
      </c>
      <c r="D71" s="13">
        <f>'Sc cible'!E161</f>
        <v>5.7143261875396831</v>
      </c>
      <c r="E71" s="13">
        <f>'Sc cible'!F161</f>
        <v>4.5401008616383223</v>
      </c>
    </row>
    <row r="72" spans="1:15" ht="30.95">
      <c r="B72" s="133" t="s">
        <v>188</v>
      </c>
      <c r="C72" s="134">
        <f>'Sc cible'!C169</f>
        <v>9.3843200000000007</v>
      </c>
      <c r="D72" s="134">
        <f>'Sc cible'!E169</f>
        <v>18.445604882807817</v>
      </c>
      <c r="E72" s="134">
        <f>'Sc cible'!F169</f>
        <v>31.832550990024174</v>
      </c>
    </row>
    <row r="75" spans="1:15" ht="18.600000000000001">
      <c r="A75" s="154" t="s">
        <v>189</v>
      </c>
      <c r="B75" s="154"/>
      <c r="C75" s="154"/>
      <c r="D75" s="154"/>
      <c r="E75" s="154"/>
      <c r="F75" s="154"/>
      <c r="G75" s="154"/>
      <c r="H75" s="154"/>
      <c r="I75" s="154"/>
      <c r="J75" s="154"/>
      <c r="K75" s="154"/>
      <c r="L75" s="154"/>
      <c r="M75" s="154"/>
      <c r="N75" s="154"/>
      <c r="O75" s="154"/>
    </row>
  </sheetData>
  <mergeCells count="4">
    <mergeCell ref="A2:O2"/>
    <mergeCell ref="A27:O27"/>
    <mergeCell ref="A55:O55"/>
    <mergeCell ref="A75:O7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00FDA-DAE7-E443-BF64-4C5BFF90CD34}">
  <sheetPr>
    <tabColor theme="5" tint="0.39997558519241921"/>
  </sheetPr>
  <dimension ref="A1:Q50"/>
  <sheetViews>
    <sheetView zoomScale="64" workbookViewId="0">
      <selection sqref="A1:O1"/>
    </sheetView>
  </sheetViews>
  <sheetFormatPr defaultColWidth="11.5546875" defaultRowHeight="15.6"/>
  <cols>
    <col min="2" max="2" width="28.88671875" style="40" customWidth="1"/>
  </cols>
  <sheetData>
    <row r="1" spans="1:15" ht="18.600000000000001">
      <c r="A1" s="144" t="s">
        <v>45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</row>
    <row r="3" spans="1:15">
      <c r="B3" s="82" t="s">
        <v>15</v>
      </c>
      <c r="C3" s="67">
        <v>2020</v>
      </c>
      <c r="D3" s="67">
        <v>2024</v>
      </c>
      <c r="E3" s="67">
        <v>2025</v>
      </c>
      <c r="F3" s="67">
        <v>2026</v>
      </c>
      <c r="G3" s="67">
        <v>2027</v>
      </c>
      <c r="H3" s="67">
        <v>2028</v>
      </c>
      <c r="I3" s="67">
        <v>2029</v>
      </c>
      <c r="J3" s="67">
        <v>2030</v>
      </c>
      <c r="K3" s="67">
        <v>2031</v>
      </c>
      <c r="L3" s="67">
        <v>2032</v>
      </c>
      <c r="M3" s="67">
        <v>2033</v>
      </c>
      <c r="N3" s="67">
        <v>2034</v>
      </c>
      <c r="O3" s="67">
        <v>2035</v>
      </c>
    </row>
    <row r="4" spans="1:15" ht="30.95">
      <c r="B4" s="125" t="s">
        <v>24</v>
      </c>
      <c r="C4" s="7">
        <f>Modelisation!C117*Modelisation!C27</f>
        <v>7.6051410753669488E-2</v>
      </c>
      <c r="D4" s="7">
        <f>Modelisation!D117*Modelisation!D27</f>
        <v>0.24070115137975115</v>
      </c>
      <c r="E4" s="7">
        <f>Modelisation!E117*Modelisation!E27</f>
        <v>0.2779887825049166</v>
      </c>
      <c r="F4" s="7">
        <f>Modelisation!F117*Modelisation!F27</f>
        <v>0.31644765663120183</v>
      </c>
      <c r="G4" s="7">
        <f>Modelisation!G117*Modelisation!G27</f>
        <v>0.35607777375860689</v>
      </c>
      <c r="H4" s="7">
        <f>Modelisation!H117*Modelisation!H27</f>
        <v>0.45271787968780364</v>
      </c>
      <c r="I4" s="7">
        <f>Modelisation!I117*Modelisation!I27</f>
        <v>0.62100851193278983</v>
      </c>
      <c r="J4" s="7">
        <f>Modelisation!J117*Modelisation!J27</f>
        <v>0.80999110386422624</v>
      </c>
      <c r="K4" s="7">
        <f>Modelisation!K117*Modelisation!K27</f>
        <v>1.0196656554821126</v>
      </c>
      <c r="L4" s="7">
        <f>Modelisation!L117*Modelisation!L27</f>
        <v>1.2500321667864494</v>
      </c>
      <c r="M4" s="7">
        <f>Modelisation!M117*Modelisation!M27</f>
        <v>1.5010906377772362</v>
      </c>
      <c r="N4" s="7">
        <f>Modelisation!N117*Modelisation!N27</f>
        <v>1.7728410684544731</v>
      </c>
      <c r="O4" s="7">
        <f>Modelisation!O117*Modelisation!O27</f>
        <v>2.0544834588181611</v>
      </c>
    </row>
    <row r="6" spans="1:15">
      <c r="A6" s="143" t="s">
        <v>42</v>
      </c>
      <c r="B6" s="143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</row>
    <row r="9" spans="1:15" ht="30.95">
      <c r="B9" s="82" t="s">
        <v>24</v>
      </c>
      <c r="C9" s="67">
        <v>2020</v>
      </c>
      <c r="D9" s="67">
        <v>2024</v>
      </c>
      <c r="E9" s="67">
        <v>2025</v>
      </c>
      <c r="F9" s="67">
        <v>2026</v>
      </c>
      <c r="G9" s="67">
        <v>2027</v>
      </c>
      <c r="H9" s="67">
        <v>2028</v>
      </c>
      <c r="I9" s="67">
        <v>2029</v>
      </c>
      <c r="J9" s="67">
        <v>2030</v>
      </c>
      <c r="K9" s="67">
        <v>2031</v>
      </c>
      <c r="L9" s="67">
        <v>2032</v>
      </c>
      <c r="M9" s="67">
        <v>2033</v>
      </c>
      <c r="N9" s="67">
        <v>2034</v>
      </c>
      <c r="O9" s="67">
        <v>2035</v>
      </c>
    </row>
    <row r="10" spans="1:15">
      <c r="C10" s="109">
        <f>C4</f>
        <v>7.6051410753669488E-2</v>
      </c>
      <c r="D10" s="7">
        <f>$C$10</f>
        <v>7.6051410753669488E-2</v>
      </c>
      <c r="E10" s="7">
        <f t="shared" ref="E10:O10" si="0">$C$10</f>
        <v>7.6051410753669488E-2</v>
      </c>
      <c r="F10" s="7">
        <f t="shared" si="0"/>
        <v>7.6051410753669488E-2</v>
      </c>
      <c r="G10" s="7">
        <f t="shared" si="0"/>
        <v>7.6051410753669488E-2</v>
      </c>
      <c r="H10" s="7">
        <f t="shared" si="0"/>
        <v>7.6051410753669488E-2</v>
      </c>
      <c r="I10" s="7">
        <f t="shared" si="0"/>
        <v>7.6051410753669488E-2</v>
      </c>
      <c r="J10" s="7">
        <f t="shared" si="0"/>
        <v>7.6051410753669488E-2</v>
      </c>
      <c r="K10" s="7">
        <f t="shared" si="0"/>
        <v>7.6051410753669488E-2</v>
      </c>
      <c r="L10" s="7">
        <f t="shared" si="0"/>
        <v>7.6051410753669488E-2</v>
      </c>
      <c r="M10" s="7">
        <f t="shared" si="0"/>
        <v>7.6051410753669488E-2</v>
      </c>
      <c r="N10" s="7">
        <f t="shared" si="0"/>
        <v>7.6051410753669488E-2</v>
      </c>
      <c r="O10" s="7">
        <f t="shared" si="0"/>
        <v>7.6051410753669488E-2</v>
      </c>
    </row>
    <row r="11" spans="1:15">
      <c r="C11" s="6"/>
      <c r="D11" s="109">
        <f>D4-C4</f>
        <v>0.16464974062608168</v>
      </c>
      <c r="E11" s="7">
        <f>$D$11</f>
        <v>0.16464974062608168</v>
      </c>
      <c r="F11" s="7">
        <f t="shared" ref="F11:O11" si="1">$D$11</f>
        <v>0.16464974062608168</v>
      </c>
      <c r="G11" s="7">
        <f t="shared" si="1"/>
        <v>0.16464974062608168</v>
      </c>
      <c r="H11" s="7">
        <f t="shared" si="1"/>
        <v>0.16464974062608168</v>
      </c>
      <c r="I11" s="7">
        <f t="shared" si="1"/>
        <v>0.16464974062608168</v>
      </c>
      <c r="J11" s="7">
        <f t="shared" si="1"/>
        <v>0.16464974062608168</v>
      </c>
      <c r="K11" s="7">
        <f t="shared" si="1"/>
        <v>0.16464974062608168</v>
      </c>
      <c r="L11" s="7">
        <f t="shared" si="1"/>
        <v>0.16464974062608168</v>
      </c>
      <c r="M11" s="7">
        <f t="shared" si="1"/>
        <v>0.16464974062608168</v>
      </c>
      <c r="N11" s="7">
        <f t="shared" si="1"/>
        <v>0.16464974062608168</v>
      </c>
      <c r="O11" s="7">
        <f t="shared" si="1"/>
        <v>0.16464974062608168</v>
      </c>
    </row>
    <row r="12" spans="1:15">
      <c r="C12" s="6"/>
      <c r="D12" s="6"/>
      <c r="E12" s="109">
        <f>E4-D4</f>
        <v>3.7287631125165449E-2</v>
      </c>
      <c r="F12" s="7">
        <f>$E$12</f>
        <v>3.7287631125165449E-2</v>
      </c>
      <c r="G12" s="7">
        <f t="shared" ref="G12:O12" si="2">$E$12</f>
        <v>3.7287631125165449E-2</v>
      </c>
      <c r="H12" s="7">
        <f t="shared" si="2"/>
        <v>3.7287631125165449E-2</v>
      </c>
      <c r="I12" s="7">
        <f t="shared" si="2"/>
        <v>3.7287631125165449E-2</v>
      </c>
      <c r="J12" s="7">
        <f t="shared" si="2"/>
        <v>3.7287631125165449E-2</v>
      </c>
      <c r="K12" s="7">
        <f t="shared" si="2"/>
        <v>3.7287631125165449E-2</v>
      </c>
      <c r="L12" s="7">
        <f t="shared" si="2"/>
        <v>3.7287631125165449E-2</v>
      </c>
      <c r="M12" s="7">
        <f t="shared" si="2"/>
        <v>3.7287631125165449E-2</v>
      </c>
      <c r="N12" s="7">
        <f t="shared" si="2"/>
        <v>3.7287631125165449E-2</v>
      </c>
      <c r="O12" s="7">
        <f t="shared" si="2"/>
        <v>3.7287631125165449E-2</v>
      </c>
    </row>
    <row r="13" spans="1:15">
      <c r="C13" s="6"/>
      <c r="D13" s="6"/>
      <c r="E13" s="6"/>
      <c r="F13" s="109">
        <f>F4-E4</f>
        <v>3.8458874126285236E-2</v>
      </c>
      <c r="G13" s="7">
        <f>$F$13</f>
        <v>3.8458874126285236E-2</v>
      </c>
      <c r="H13" s="7">
        <f t="shared" ref="H13:O13" si="3">$F$13</f>
        <v>3.8458874126285236E-2</v>
      </c>
      <c r="I13" s="7">
        <f t="shared" si="3"/>
        <v>3.8458874126285236E-2</v>
      </c>
      <c r="J13" s="7">
        <f t="shared" si="3"/>
        <v>3.8458874126285236E-2</v>
      </c>
      <c r="K13" s="7">
        <f t="shared" si="3"/>
        <v>3.8458874126285236E-2</v>
      </c>
      <c r="L13" s="7">
        <f t="shared" si="3"/>
        <v>3.8458874126285236E-2</v>
      </c>
      <c r="M13" s="7">
        <f t="shared" si="3"/>
        <v>3.8458874126285236E-2</v>
      </c>
      <c r="N13" s="7">
        <f t="shared" si="3"/>
        <v>3.8458874126285236E-2</v>
      </c>
      <c r="O13" s="7">
        <f t="shared" si="3"/>
        <v>3.8458874126285236E-2</v>
      </c>
    </row>
    <row r="14" spans="1:15">
      <c r="C14" s="6"/>
      <c r="D14" s="6"/>
      <c r="E14" s="6"/>
      <c r="F14" s="6"/>
      <c r="G14" s="109">
        <f>G4-F4</f>
        <v>3.9630117127405051E-2</v>
      </c>
      <c r="H14" s="115">
        <f>G14</f>
        <v>3.9630117127405051E-2</v>
      </c>
      <c r="I14" s="115">
        <f t="shared" ref="I14:O14" si="4">H14</f>
        <v>3.9630117127405051E-2</v>
      </c>
      <c r="J14" s="115">
        <f t="shared" si="4"/>
        <v>3.9630117127405051E-2</v>
      </c>
      <c r="K14" s="115">
        <f t="shared" si="4"/>
        <v>3.9630117127405051E-2</v>
      </c>
      <c r="L14" s="115">
        <f t="shared" si="4"/>
        <v>3.9630117127405051E-2</v>
      </c>
      <c r="M14" s="115">
        <f t="shared" si="4"/>
        <v>3.9630117127405051E-2</v>
      </c>
      <c r="N14" s="115">
        <f t="shared" si="4"/>
        <v>3.9630117127405051E-2</v>
      </c>
      <c r="O14" s="115">
        <f t="shared" si="4"/>
        <v>3.9630117127405051E-2</v>
      </c>
    </row>
    <row r="15" spans="1:15">
      <c r="C15" s="6"/>
      <c r="D15" s="6"/>
      <c r="E15" s="6"/>
      <c r="F15" s="6"/>
      <c r="G15" s="6"/>
      <c r="H15" s="109">
        <f>H4-G4</f>
        <v>9.6640105929196751E-2</v>
      </c>
      <c r="I15" s="7">
        <f>H15</f>
        <v>9.6640105929196751E-2</v>
      </c>
      <c r="J15" s="7">
        <f t="shared" ref="J15:O15" si="5">I15</f>
        <v>9.6640105929196751E-2</v>
      </c>
      <c r="K15" s="7">
        <f t="shared" si="5"/>
        <v>9.6640105929196751E-2</v>
      </c>
      <c r="L15" s="7">
        <f t="shared" si="5"/>
        <v>9.6640105929196751E-2</v>
      </c>
      <c r="M15" s="7">
        <f t="shared" si="5"/>
        <v>9.6640105929196751E-2</v>
      </c>
      <c r="N15" s="7">
        <f t="shared" si="5"/>
        <v>9.6640105929196751E-2</v>
      </c>
      <c r="O15" s="7">
        <f t="shared" si="5"/>
        <v>9.6640105929196751E-2</v>
      </c>
    </row>
    <row r="16" spans="1:15">
      <c r="C16" s="6"/>
      <c r="D16" s="6"/>
      <c r="E16" s="6"/>
      <c r="F16" s="6"/>
      <c r="G16" s="6"/>
      <c r="H16" s="6"/>
      <c r="I16" s="109">
        <f>I4-H4</f>
        <v>0.16829063224498619</v>
      </c>
      <c r="J16" s="7">
        <f>I16</f>
        <v>0.16829063224498619</v>
      </c>
      <c r="K16" s="7">
        <f t="shared" ref="K16:O16" si="6">J16</f>
        <v>0.16829063224498619</v>
      </c>
      <c r="L16" s="7">
        <f t="shared" si="6"/>
        <v>0.16829063224498619</v>
      </c>
      <c r="M16" s="7">
        <f t="shared" si="6"/>
        <v>0.16829063224498619</v>
      </c>
      <c r="N16" s="7">
        <f t="shared" si="6"/>
        <v>0.16829063224498619</v>
      </c>
      <c r="O16" s="7">
        <f t="shared" si="6"/>
        <v>0.16829063224498619</v>
      </c>
    </row>
    <row r="17" spans="1:17">
      <c r="C17" s="6"/>
      <c r="D17" s="6"/>
      <c r="E17" s="6"/>
      <c r="F17" s="6"/>
      <c r="G17" s="6"/>
      <c r="H17" s="6"/>
      <c r="I17" s="6"/>
      <c r="J17" s="109">
        <f>J4-I4</f>
        <v>0.18898259193143641</v>
      </c>
      <c r="K17" s="7">
        <f>J17</f>
        <v>0.18898259193143641</v>
      </c>
      <c r="L17" s="7">
        <f t="shared" ref="L17:O17" si="7">K17</f>
        <v>0.18898259193143641</v>
      </c>
      <c r="M17" s="7">
        <f t="shared" si="7"/>
        <v>0.18898259193143641</v>
      </c>
      <c r="N17" s="7">
        <f t="shared" si="7"/>
        <v>0.18898259193143641</v>
      </c>
      <c r="O17" s="7">
        <f t="shared" si="7"/>
        <v>0.18898259193143641</v>
      </c>
    </row>
    <row r="18" spans="1:17">
      <c r="C18" s="6"/>
      <c r="D18" s="6"/>
      <c r="E18" s="6"/>
      <c r="F18" s="6"/>
      <c r="G18" s="6"/>
      <c r="H18" s="6"/>
      <c r="I18" s="6"/>
      <c r="J18" s="6"/>
      <c r="K18" s="109">
        <f>K4-J4</f>
        <v>0.2096745516178864</v>
      </c>
      <c r="L18" s="7">
        <f>K18</f>
        <v>0.2096745516178864</v>
      </c>
      <c r="M18" s="7">
        <f t="shared" ref="M18:O18" si="8">L18</f>
        <v>0.2096745516178864</v>
      </c>
      <c r="N18" s="7">
        <f t="shared" si="8"/>
        <v>0.2096745516178864</v>
      </c>
      <c r="O18" s="7">
        <f t="shared" si="8"/>
        <v>0.2096745516178864</v>
      </c>
    </row>
    <row r="19" spans="1:17">
      <c r="C19" s="6"/>
      <c r="D19" s="6"/>
      <c r="E19" s="6"/>
      <c r="F19" s="6"/>
      <c r="G19" s="6"/>
      <c r="H19" s="6"/>
      <c r="I19" s="6"/>
      <c r="J19" s="6"/>
      <c r="K19" s="6"/>
      <c r="L19" s="109">
        <f>L4-K4</f>
        <v>0.23036651130433672</v>
      </c>
      <c r="M19" s="7">
        <f>L19</f>
        <v>0.23036651130433672</v>
      </c>
      <c r="N19" s="7">
        <f t="shared" ref="N19:O19" si="9">M19</f>
        <v>0.23036651130433672</v>
      </c>
      <c r="O19" s="7">
        <f t="shared" si="9"/>
        <v>0.23036651130433672</v>
      </c>
    </row>
    <row r="20" spans="1:17">
      <c r="C20" s="6"/>
      <c r="D20" s="6"/>
      <c r="E20" s="6"/>
      <c r="F20" s="6"/>
      <c r="G20" s="6"/>
      <c r="H20" s="6"/>
      <c r="I20" s="6"/>
      <c r="J20" s="6"/>
      <c r="K20" s="6"/>
      <c r="L20" s="6"/>
      <c r="M20" s="109">
        <f>M4-L4</f>
        <v>0.25105847099078682</v>
      </c>
      <c r="N20" s="7">
        <f>M20</f>
        <v>0.25105847099078682</v>
      </c>
      <c r="O20" s="7">
        <f>N20</f>
        <v>0.25105847099078682</v>
      </c>
    </row>
    <row r="21" spans="1:17"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109">
        <f>N4-M4</f>
        <v>0.27175043067723692</v>
      </c>
      <c r="O21" s="7">
        <f>N21</f>
        <v>0.27175043067723692</v>
      </c>
    </row>
    <row r="22" spans="1:17"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109">
        <f>O4-N4</f>
        <v>0.28164239036368799</v>
      </c>
    </row>
    <row r="24" spans="1:17">
      <c r="A24" s="143" t="s">
        <v>39</v>
      </c>
      <c r="B24" s="143"/>
      <c r="C24" s="143"/>
      <c r="D24" s="143"/>
      <c r="E24" s="143"/>
      <c r="F24" s="143"/>
      <c r="G24" s="143"/>
      <c r="H24" s="143"/>
      <c r="I24" s="143"/>
      <c r="J24" s="143"/>
      <c r="K24" s="143"/>
      <c r="L24" s="143"/>
      <c r="M24" s="143"/>
      <c r="N24" s="143"/>
      <c r="O24" s="143"/>
    </row>
    <row r="25" spans="1:17"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7">
      <c r="B26" s="82" t="s">
        <v>46</v>
      </c>
      <c r="C26" s="67">
        <v>1</v>
      </c>
      <c r="D26" s="67">
        <v>2</v>
      </c>
      <c r="E26" s="67">
        <v>3</v>
      </c>
      <c r="F26" s="67">
        <v>4</v>
      </c>
      <c r="G26" s="67">
        <v>5</v>
      </c>
      <c r="H26" s="67">
        <v>6</v>
      </c>
      <c r="I26" s="67">
        <v>7</v>
      </c>
      <c r="J26" s="67">
        <v>8</v>
      </c>
      <c r="K26" s="67">
        <v>9</v>
      </c>
      <c r="L26" s="67">
        <v>10</v>
      </c>
      <c r="M26" s="67">
        <v>11</v>
      </c>
      <c r="N26" s="67">
        <v>12</v>
      </c>
      <c r="O26" s="67">
        <v>13</v>
      </c>
      <c r="P26" s="67">
        <v>14</v>
      </c>
      <c r="Q26" s="67">
        <v>15</v>
      </c>
    </row>
    <row r="27" spans="1:17">
      <c r="B27" s="116" t="s">
        <v>6</v>
      </c>
      <c r="C27" s="5">
        <f>Modelisation!C69</f>
        <v>0.3</v>
      </c>
      <c r="D27" s="5">
        <f>Modelisation!D69</f>
        <v>0.32777777777777778</v>
      </c>
      <c r="E27" s="5">
        <f>Modelisation!E69</f>
        <v>0.35555555555555557</v>
      </c>
      <c r="F27" s="5">
        <f>Modelisation!F69</f>
        <v>0.38333333333333336</v>
      </c>
      <c r="G27" s="5">
        <f>Modelisation!G69</f>
        <v>0.41111111111111115</v>
      </c>
      <c r="H27" s="5">
        <f>Modelisation!H69</f>
        <v>0.43888888888888894</v>
      </c>
      <c r="I27" s="5">
        <f>Modelisation!I69</f>
        <v>0.46666666666666673</v>
      </c>
      <c r="J27" s="5">
        <f>Modelisation!J69</f>
        <v>0.49444444444444452</v>
      </c>
      <c r="K27" s="5">
        <f>Modelisation!K69</f>
        <v>0.52222222222222225</v>
      </c>
      <c r="L27" s="5">
        <f>Modelisation!L69</f>
        <v>0.55000000000000004</v>
      </c>
      <c r="M27" s="5">
        <f>Modelisation!M69</f>
        <v>0.55000000000000004</v>
      </c>
      <c r="N27" s="5">
        <f>Modelisation!N69</f>
        <v>0.55000000000000004</v>
      </c>
      <c r="O27" s="5">
        <f>Modelisation!O69</f>
        <v>0.55000000000000004</v>
      </c>
      <c r="P27" s="5">
        <f>Modelisation!P69</f>
        <v>0.55000000000000004</v>
      </c>
      <c r="Q27" s="5">
        <f>Modelisation!Q69</f>
        <v>0.55000000000000004</v>
      </c>
    </row>
    <row r="28" spans="1:17"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</row>
    <row r="29" spans="1:17"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7">
      <c r="A30" s="143" t="s">
        <v>11</v>
      </c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/>
    </row>
    <row r="31" spans="1:17"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7">
      <c r="B32" s="82" t="s">
        <v>47</v>
      </c>
      <c r="C32" s="67">
        <v>2020</v>
      </c>
      <c r="D32" s="67">
        <v>2024</v>
      </c>
      <c r="E32" s="67">
        <v>2025</v>
      </c>
      <c r="F32" s="67">
        <v>2026</v>
      </c>
      <c r="G32" s="67">
        <v>2027</v>
      </c>
      <c r="H32" s="67">
        <v>2028</v>
      </c>
      <c r="I32" s="67">
        <v>2029</v>
      </c>
      <c r="J32" s="67">
        <v>2030</v>
      </c>
      <c r="K32" s="67">
        <v>2031</v>
      </c>
      <c r="L32" s="67">
        <v>2032</v>
      </c>
      <c r="M32" s="67">
        <v>2033</v>
      </c>
      <c r="N32" s="67">
        <v>2034</v>
      </c>
      <c r="O32" s="67">
        <v>2035</v>
      </c>
    </row>
    <row r="33" spans="2:15">
      <c r="B33" s="17" t="s">
        <v>6</v>
      </c>
      <c r="C33" s="5">
        <f>C10*L27*365.25*24/1000</f>
        <v>0.36666666666666675</v>
      </c>
      <c r="D33" s="5">
        <f>(D10*P27+D11*C27)*365.25*24/1000</f>
        <v>0.79966255456513635</v>
      </c>
      <c r="E33" s="5">
        <f>(E10*Q27+E11*D27+E12*C27)*365.25*24/1000</f>
        <v>0.93781377874054739</v>
      </c>
      <c r="F33" s="5">
        <f>(F10*N27+F11*E27+F12*D27+F13*C27)*365.25*24/1000</f>
        <v>1.0881246759392809</v>
      </c>
      <c r="G33" s="5">
        <f>(G10*L27+G11*F27+G12*E27+G13*D27+G14*C27)*365.25*24/1000</f>
        <v>1.2508804438321097</v>
      </c>
      <c r="H33" s="5">
        <f>(H10*L27+H11*G27+H12*F27+H13*E27+H14*D27+H15*C27)*365.25*24/1000</f>
        <v>1.5732110137964141</v>
      </c>
      <c r="I33" s="5">
        <f>(I10*M27+I11*H27+I12*G27+I13*F27+I14*E27+I15*D27+I16*C27)*365.25*24/1000</f>
        <v>2.1075000036597404</v>
      </c>
      <c r="J33" s="5">
        <f>(J10*N27+J11*I27+J12*H27+J13*G27+J14*F27+J15*E27+J16*D27+J17*C27)*365.25*24/1000</f>
        <v>2.7371834780581477</v>
      </c>
      <c r="K33" s="5">
        <f>(K10*O27+K11*J27+K12*I27+K13*H27+K14*G27+K15*F27+K16*E27+K17*D27+K18*C27)*365.25*24/1000</f>
        <v>3.4672999291752848</v>
      </c>
      <c r="L33" s="5">
        <f>(L10*P27+L11*K27+L12*J27+L13*I27+L14*H27+L15*G27+L16*F27+L17*E27+L18*D27+L19*C27)*365.25*24/1000</f>
        <v>4.3028878491948062</v>
      </c>
      <c r="M33" s="5">
        <f>(M10*Q27+M11*L27+M12*K27+M13*J27+M14*I27+M15*H27+M16*G27+M17*F27+M18*E27+M19*D27+M20*C27)*365.25*24/1000</f>
        <v>5.2489857303003591</v>
      </c>
      <c r="N33" s="5">
        <f>(N10*Q27+N11*M27+N12*L27+N13*K27+N14*J27+N15*I27+N16*H27+N17*G27+N18*F27+N19*E27+N20*D27+N21*C27)*365.25*24/1000</f>
        <v>6.270539852833144</v>
      </c>
      <c r="O33" s="5">
        <f>(O10*Q27+O11*N27+O12*M27+O13*L27+O14*K27+O15*J27+O16*I27+O17*H27+O18*G27+O19*F27+O20*E27+O21*D27+O22*C27)*365.25*24/1000</f>
        <v>7.3751995426402885</v>
      </c>
    </row>
    <row r="34" spans="2:15"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</row>
    <row r="35" spans="2:15"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</row>
    <row r="36" spans="2:15"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</row>
    <row r="37" spans="2:15"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2:15"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</row>
    <row r="39" spans="2:15"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</row>
    <row r="40" spans="2:15"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2:15"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</row>
    <row r="42" spans="2:15"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2:15"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2:15"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</row>
    <row r="45" spans="2:15"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</row>
    <row r="46" spans="2:15"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</row>
    <row r="47" spans="2:15"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</row>
    <row r="48" spans="2:15"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</row>
    <row r="49" spans="3:15"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</row>
    <row r="50" spans="3:15"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</row>
  </sheetData>
  <mergeCells count="4">
    <mergeCell ref="A6:O6"/>
    <mergeCell ref="A1:O1"/>
    <mergeCell ref="A24:O24"/>
    <mergeCell ref="A30:O30"/>
  </mergeCells>
  <pageMargins left="0.7" right="0.7" top="0.75" bottom="0.75" header="0.3" footer="0.3"/>
  <pageSetup paperSize="9" orientation="portrait" horizontalDpi="0" verticalDpi="0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E3E42-69D7-8844-8535-4CB9178F28EB}">
  <sheetPr>
    <tabColor theme="5" tint="0.39997558519241921"/>
  </sheetPr>
  <dimension ref="A1:O30"/>
  <sheetViews>
    <sheetView zoomScale="59" workbookViewId="0">
      <selection sqref="A1:O1"/>
    </sheetView>
  </sheetViews>
  <sheetFormatPr defaultColWidth="11.5546875" defaultRowHeight="15.6"/>
  <cols>
    <col min="2" max="2" width="23.5546875" style="40" customWidth="1"/>
  </cols>
  <sheetData>
    <row r="1" spans="1:15">
      <c r="A1" s="145" t="s">
        <v>45</v>
      </c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</row>
    <row r="2" spans="1:15">
      <c r="A2" s="46"/>
      <c r="B2" s="112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spans="1:15">
      <c r="A3" s="46"/>
      <c r="B3" s="113" t="s">
        <v>15</v>
      </c>
      <c r="C3" s="85">
        <v>2020</v>
      </c>
      <c r="D3" s="85">
        <v>2024</v>
      </c>
      <c r="E3" s="85">
        <v>2025</v>
      </c>
      <c r="F3" s="85">
        <v>2026</v>
      </c>
      <c r="G3" s="85">
        <v>2027</v>
      </c>
      <c r="H3" s="85">
        <v>2028</v>
      </c>
      <c r="I3" s="85">
        <v>2029</v>
      </c>
      <c r="J3" s="85">
        <v>2030</v>
      </c>
      <c r="K3" s="85">
        <v>2031</v>
      </c>
      <c r="L3" s="85">
        <v>2032</v>
      </c>
      <c r="M3" s="85">
        <v>2033</v>
      </c>
      <c r="N3" s="85">
        <v>2034</v>
      </c>
      <c r="O3" s="85">
        <v>2035</v>
      </c>
    </row>
    <row r="4" spans="1:15" ht="46.5">
      <c r="A4" s="46"/>
      <c r="B4" s="125" t="s">
        <v>48</v>
      </c>
      <c r="C4" s="54"/>
      <c r="D4" s="54"/>
      <c r="E4" s="54"/>
      <c r="F4" s="54"/>
      <c r="G4" s="54"/>
      <c r="H4" s="54">
        <f>Modelisation!H50</f>
        <v>0.41999999999999993</v>
      </c>
      <c r="I4" s="54">
        <f>Modelisation!I50</f>
        <v>0.83999999999999986</v>
      </c>
      <c r="J4" s="54">
        <f>Modelisation!J50</f>
        <v>1.2599999999999998</v>
      </c>
      <c r="K4" s="54">
        <f>Modelisation!K50</f>
        <v>1.6799999999999997</v>
      </c>
      <c r="L4" s="54">
        <f>Modelisation!L50</f>
        <v>2.0999999999999996</v>
      </c>
      <c r="M4" s="54">
        <f>Modelisation!M50</f>
        <v>2.0999999999999996</v>
      </c>
      <c r="N4" s="54">
        <f>Modelisation!N50</f>
        <v>2.0999999999999996</v>
      </c>
      <c r="O4" s="54">
        <f>Modelisation!O50</f>
        <v>2.0999999999999996</v>
      </c>
    </row>
    <row r="5" spans="1:15">
      <c r="A5" s="46"/>
      <c r="B5" s="112"/>
      <c r="C5" s="46"/>
      <c r="D5" s="46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</row>
    <row r="6" spans="1:15">
      <c r="A6" s="145" t="s">
        <v>42</v>
      </c>
      <c r="B6" s="145"/>
      <c r="C6" s="145"/>
      <c r="D6" s="145"/>
      <c r="E6" s="145"/>
      <c r="F6" s="145"/>
      <c r="G6" s="145"/>
      <c r="H6" s="145"/>
      <c r="I6" s="145"/>
      <c r="J6" s="145"/>
      <c r="K6" s="145"/>
      <c r="L6" s="145"/>
      <c r="M6" s="145"/>
      <c r="N6" s="145"/>
      <c r="O6" s="145"/>
    </row>
    <row r="7" spans="1:15">
      <c r="A7" s="46"/>
      <c r="B7" s="112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</row>
    <row r="8" spans="1:15">
      <c r="A8" s="46"/>
      <c r="B8" s="112"/>
      <c r="C8" s="46"/>
      <c r="D8" s="46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</row>
    <row r="9" spans="1:15" ht="30.95">
      <c r="A9" s="46"/>
      <c r="B9" s="113" t="s">
        <v>24</v>
      </c>
      <c r="C9" s="85">
        <v>2020</v>
      </c>
      <c r="D9" s="85">
        <v>2024</v>
      </c>
      <c r="E9" s="85">
        <v>2025</v>
      </c>
      <c r="F9" s="85">
        <v>2026</v>
      </c>
      <c r="G9" s="85">
        <v>2027</v>
      </c>
      <c r="H9" s="85">
        <v>2028</v>
      </c>
      <c r="I9" s="85">
        <v>2029</v>
      </c>
      <c r="J9" s="85">
        <v>2030</v>
      </c>
      <c r="K9" s="85">
        <v>2031</v>
      </c>
      <c r="L9" s="85">
        <v>2032</v>
      </c>
      <c r="M9" s="85">
        <v>2033</v>
      </c>
      <c r="N9" s="85">
        <v>2034</v>
      </c>
      <c r="O9" s="85">
        <v>2035</v>
      </c>
    </row>
    <row r="10" spans="1:15" ht="46.5">
      <c r="A10" s="46"/>
      <c r="B10" s="125" t="s">
        <v>48</v>
      </c>
      <c r="C10" s="46"/>
      <c r="D10" s="46"/>
      <c r="E10" s="46"/>
      <c r="F10" s="46"/>
      <c r="G10" s="46"/>
      <c r="H10" s="54">
        <f>H4</f>
        <v>0.41999999999999993</v>
      </c>
      <c r="I10" s="54">
        <f>H10</f>
        <v>0.41999999999999993</v>
      </c>
      <c r="J10" s="54">
        <f t="shared" ref="J10:O14" si="0">I10</f>
        <v>0.41999999999999993</v>
      </c>
      <c r="K10" s="54">
        <f t="shared" si="0"/>
        <v>0.41999999999999993</v>
      </c>
      <c r="L10" s="54">
        <f t="shared" si="0"/>
        <v>0.41999999999999993</v>
      </c>
      <c r="M10" s="54">
        <f t="shared" si="0"/>
        <v>0.41999999999999993</v>
      </c>
      <c r="N10" s="54">
        <f t="shared" si="0"/>
        <v>0.41999999999999993</v>
      </c>
      <c r="O10" s="54">
        <f t="shared" si="0"/>
        <v>0.41999999999999993</v>
      </c>
    </row>
    <row r="11" spans="1:15">
      <c r="A11" s="46"/>
      <c r="B11" s="112"/>
      <c r="C11" s="46"/>
      <c r="D11" s="46"/>
      <c r="E11" s="46"/>
      <c r="F11" s="46"/>
      <c r="G11" s="46"/>
      <c r="H11" s="46"/>
      <c r="I11" s="54">
        <f>I4-H4</f>
        <v>0.41999999999999993</v>
      </c>
      <c r="J11" s="54">
        <f>I11</f>
        <v>0.41999999999999993</v>
      </c>
      <c r="K11" s="54">
        <f t="shared" si="0"/>
        <v>0.41999999999999993</v>
      </c>
      <c r="L11" s="54">
        <f t="shared" si="0"/>
        <v>0.41999999999999993</v>
      </c>
      <c r="M11" s="54">
        <f t="shared" si="0"/>
        <v>0.41999999999999993</v>
      </c>
      <c r="N11" s="54">
        <f t="shared" si="0"/>
        <v>0.41999999999999993</v>
      </c>
      <c r="O11" s="54">
        <f t="shared" si="0"/>
        <v>0.41999999999999993</v>
      </c>
    </row>
    <row r="12" spans="1:15">
      <c r="A12" s="46"/>
      <c r="B12" s="112"/>
      <c r="C12" s="46"/>
      <c r="D12" s="46"/>
      <c r="E12" s="46"/>
      <c r="F12" s="46"/>
      <c r="G12" s="46"/>
      <c r="H12" s="46"/>
      <c r="I12" s="46"/>
      <c r="J12" s="54">
        <f>J4-I4</f>
        <v>0.41999999999999993</v>
      </c>
      <c r="K12" s="54">
        <f>J12</f>
        <v>0.41999999999999993</v>
      </c>
      <c r="L12" s="54">
        <f t="shared" si="0"/>
        <v>0.41999999999999993</v>
      </c>
      <c r="M12" s="54">
        <f t="shared" si="0"/>
        <v>0.41999999999999993</v>
      </c>
      <c r="N12" s="54">
        <f t="shared" si="0"/>
        <v>0.41999999999999993</v>
      </c>
      <c r="O12" s="54">
        <f t="shared" si="0"/>
        <v>0.41999999999999993</v>
      </c>
    </row>
    <row r="13" spans="1:15">
      <c r="A13" s="46"/>
      <c r="B13" s="112"/>
      <c r="C13" s="46"/>
      <c r="D13" s="46"/>
      <c r="E13" s="46"/>
      <c r="F13" s="46"/>
      <c r="G13" s="46"/>
      <c r="H13" s="46"/>
      <c r="I13" s="46"/>
      <c r="J13" s="64"/>
      <c r="K13" s="54">
        <f>K4-J4</f>
        <v>0.41999999999999993</v>
      </c>
      <c r="L13" s="54">
        <f>K13</f>
        <v>0.41999999999999993</v>
      </c>
      <c r="M13" s="54">
        <f t="shared" si="0"/>
        <v>0.41999999999999993</v>
      </c>
      <c r="N13" s="54">
        <f t="shared" si="0"/>
        <v>0.41999999999999993</v>
      </c>
      <c r="O13" s="54">
        <f t="shared" si="0"/>
        <v>0.41999999999999993</v>
      </c>
    </row>
    <row r="14" spans="1:15">
      <c r="A14" s="46"/>
      <c r="B14" s="112"/>
      <c r="C14" s="46"/>
      <c r="D14" s="46"/>
      <c r="E14" s="46"/>
      <c r="F14" s="46"/>
      <c r="G14" s="46"/>
      <c r="H14" s="46"/>
      <c r="I14" s="46"/>
      <c r="J14" s="64"/>
      <c r="K14" s="46"/>
      <c r="L14" s="54">
        <f>L4-K4</f>
        <v>0.41999999999999993</v>
      </c>
      <c r="M14" s="54">
        <f>L14</f>
        <v>0.41999999999999993</v>
      </c>
      <c r="N14" s="54">
        <f t="shared" si="0"/>
        <v>0.41999999999999993</v>
      </c>
      <c r="O14" s="54">
        <f t="shared" si="0"/>
        <v>0.41999999999999993</v>
      </c>
    </row>
    <row r="15" spans="1:15">
      <c r="A15" s="46"/>
      <c r="B15" s="112"/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64"/>
      <c r="N15" s="46"/>
      <c r="O15" s="46"/>
    </row>
    <row r="16" spans="1:15">
      <c r="A16" s="46"/>
      <c r="B16" s="112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</row>
    <row r="17" spans="1:15">
      <c r="A17" s="145" t="s">
        <v>39</v>
      </c>
      <c r="B17" s="145"/>
      <c r="C17" s="145"/>
      <c r="D17" s="145"/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145"/>
    </row>
    <row r="18" spans="1:15">
      <c r="A18" s="46"/>
      <c r="B18" s="112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1"/>
      <c r="O18" s="61"/>
    </row>
    <row r="19" spans="1:15">
      <c r="A19" s="46"/>
      <c r="B19" s="113" t="s">
        <v>46</v>
      </c>
      <c r="C19" s="85">
        <v>1</v>
      </c>
      <c r="D19" s="85">
        <v>2</v>
      </c>
      <c r="E19" s="85">
        <v>3</v>
      </c>
      <c r="F19" s="85">
        <v>4</v>
      </c>
      <c r="G19" s="85">
        <v>5</v>
      </c>
      <c r="H19" s="85">
        <v>6</v>
      </c>
      <c r="I19" s="85">
        <v>7</v>
      </c>
      <c r="J19" s="85">
        <v>8</v>
      </c>
      <c r="K19" s="85">
        <v>9</v>
      </c>
      <c r="L19" s="85">
        <v>10</v>
      </c>
      <c r="M19" s="85">
        <v>11</v>
      </c>
      <c r="N19" s="85">
        <v>12</v>
      </c>
      <c r="O19" s="85">
        <v>13</v>
      </c>
    </row>
    <row r="20" spans="1:15" ht="30.95">
      <c r="A20" s="46"/>
      <c r="B20" s="114" t="s">
        <v>49</v>
      </c>
      <c r="C20" s="54">
        <f>Modelisation!C72</f>
        <v>0.3</v>
      </c>
      <c r="D20" s="54">
        <f>Modelisation!D72</f>
        <v>0.39999999999999997</v>
      </c>
      <c r="E20" s="54">
        <f>Modelisation!E72</f>
        <v>0.49999999999999994</v>
      </c>
      <c r="F20" s="54">
        <f>Modelisation!F72</f>
        <v>0.6</v>
      </c>
      <c r="G20" s="54">
        <f>Modelisation!G72</f>
        <v>0.7</v>
      </c>
      <c r="H20" s="54">
        <f>Modelisation!H72</f>
        <v>0.7</v>
      </c>
      <c r="I20" s="54">
        <f>Modelisation!I72</f>
        <v>0.7</v>
      </c>
      <c r="J20" s="54">
        <f>Modelisation!J72</f>
        <v>0.7</v>
      </c>
      <c r="K20" s="54">
        <f>Modelisation!K72</f>
        <v>0.7</v>
      </c>
      <c r="L20" s="54">
        <f>Modelisation!L72</f>
        <v>0.7</v>
      </c>
      <c r="M20" s="54">
        <f>Modelisation!M72</f>
        <v>0.7</v>
      </c>
      <c r="N20" s="54">
        <f>Modelisation!N72</f>
        <v>0.7</v>
      </c>
      <c r="O20" s="54">
        <f>Modelisation!O72</f>
        <v>0.7</v>
      </c>
    </row>
    <row r="21" spans="1:15">
      <c r="A21" s="46"/>
      <c r="B21" s="112"/>
      <c r="C21" s="61"/>
      <c r="D21" s="61"/>
      <c r="E21" s="61"/>
      <c r="F21" s="61"/>
      <c r="G21" s="61"/>
      <c r="H21" s="61"/>
      <c r="I21" s="61"/>
      <c r="J21" s="61"/>
      <c r="K21" s="61"/>
      <c r="L21" s="61"/>
      <c r="M21" s="61"/>
      <c r="N21" s="61"/>
      <c r="O21" s="61"/>
    </row>
    <row r="22" spans="1:15">
      <c r="A22" s="46"/>
      <c r="B22" s="112"/>
      <c r="C22" s="61"/>
      <c r="D22" s="61"/>
      <c r="E22" s="61"/>
      <c r="F22" s="61"/>
      <c r="G22" s="61"/>
      <c r="H22" s="61"/>
      <c r="I22" s="61"/>
      <c r="J22" s="61"/>
      <c r="K22" s="61"/>
      <c r="L22" s="61"/>
      <c r="M22" s="61"/>
      <c r="N22" s="61"/>
      <c r="O22" s="61"/>
    </row>
    <row r="23" spans="1:15">
      <c r="A23" s="145" t="s">
        <v>50</v>
      </c>
      <c r="B23" s="145"/>
      <c r="C23" s="145"/>
      <c r="D23" s="145"/>
      <c r="E23" s="145"/>
      <c r="F23" s="145"/>
      <c r="G23" s="145"/>
      <c r="H23" s="145"/>
      <c r="I23" s="145"/>
      <c r="J23" s="145"/>
      <c r="K23" s="145"/>
      <c r="L23" s="145"/>
      <c r="M23" s="145"/>
      <c r="N23" s="145"/>
      <c r="O23" s="145"/>
    </row>
    <row r="24" spans="1:15">
      <c r="A24" s="46"/>
      <c r="B24" s="112"/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61"/>
    </row>
    <row r="25" spans="1:15">
      <c r="A25" s="46"/>
      <c r="B25" s="113" t="s">
        <v>51</v>
      </c>
      <c r="C25" s="85">
        <v>2020</v>
      </c>
      <c r="D25" s="85">
        <v>2024</v>
      </c>
      <c r="E25" s="85">
        <v>2025</v>
      </c>
      <c r="F25" s="85">
        <v>2026</v>
      </c>
      <c r="G25" s="85">
        <v>2027</v>
      </c>
      <c r="H25" s="85">
        <v>2028</v>
      </c>
      <c r="I25" s="85">
        <v>2029</v>
      </c>
      <c r="J25" s="85">
        <v>2030</v>
      </c>
      <c r="K25" s="85">
        <v>2031</v>
      </c>
      <c r="L25" s="85">
        <v>2032</v>
      </c>
      <c r="M25" s="85">
        <v>2033</v>
      </c>
      <c r="N25" s="85">
        <v>2034</v>
      </c>
      <c r="O25" s="85">
        <v>2035</v>
      </c>
    </row>
    <row r="26" spans="1:15" ht="30.95">
      <c r="A26" s="46"/>
      <c r="B26" s="114" t="s">
        <v>49</v>
      </c>
      <c r="C26" s="54">
        <v>0</v>
      </c>
      <c r="D26" s="54">
        <v>0</v>
      </c>
      <c r="E26" s="54">
        <v>0</v>
      </c>
      <c r="F26" s="54">
        <v>0</v>
      </c>
      <c r="G26" s="54">
        <v>0</v>
      </c>
      <c r="H26" s="54">
        <f>H10*C20*365.25*24/1000</f>
        <v>1.1045159999999996</v>
      </c>
      <c r="I26" s="54">
        <f>(I10*D20+I11*C20)*365.25*24/1000</f>
        <v>2.5772039999999992</v>
      </c>
      <c r="J26" s="54">
        <f>(J10*E20+J11*D20+J12*C20)*365.25*24/1000</f>
        <v>4.4180639999999984</v>
      </c>
      <c r="K26" s="54">
        <f>(K10*F20+K11*E20+K12*D20+K13*C20)*365.25*24/1000</f>
        <v>6.6270959999999981</v>
      </c>
      <c r="L26" s="54">
        <f>(L10*G20+L11*F20+L12*E20+L13*D20+L14*C20)*365.25*24/1000</f>
        <v>9.2042999999999981</v>
      </c>
      <c r="M26" s="54">
        <f>(M10*H20+M11*G20+M12*F20+M13*E20+M14*D20)*365.25*24/1000</f>
        <v>10.676987999999998</v>
      </c>
      <c r="N26" s="54">
        <f>(N10*I20+N11*H20+N12*G20+N13*F20+N14*E20)*365.25*24/1000</f>
        <v>11.781503999999996</v>
      </c>
      <c r="O26" s="54">
        <f>(O10*J20+O11*I20+O12*H20+O13*G20+O14*F20)*365.25*24/1000</f>
        <v>12.517847999999999</v>
      </c>
    </row>
    <row r="27" spans="1:15">
      <c r="A27" s="46"/>
      <c r="B27" s="112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</row>
    <row r="28" spans="1:15">
      <c r="A28" s="46"/>
      <c r="B28" s="112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</row>
    <row r="29" spans="1:15">
      <c r="A29" s="46"/>
      <c r="B29" s="112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</row>
    <row r="30" spans="1:15">
      <c r="A30" s="46"/>
      <c r="B30" s="112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</row>
  </sheetData>
  <mergeCells count="4">
    <mergeCell ref="A1:O1"/>
    <mergeCell ref="A6:O6"/>
    <mergeCell ref="A17:O17"/>
    <mergeCell ref="A23:O23"/>
  </mergeCell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321A2-BF62-6C48-8237-B0B1C941FAA7}">
  <sheetPr>
    <tabColor theme="5" tint="0.39997558519241921"/>
  </sheetPr>
  <dimension ref="A1:Q33"/>
  <sheetViews>
    <sheetView zoomScale="61" zoomScaleNormal="125" workbookViewId="0">
      <selection sqref="A1:O1"/>
    </sheetView>
  </sheetViews>
  <sheetFormatPr defaultColWidth="11.5546875" defaultRowHeight="15.6"/>
  <cols>
    <col min="2" max="2" width="21.6640625" customWidth="1"/>
  </cols>
  <sheetData>
    <row r="1" spans="1:15" ht="18.600000000000001">
      <c r="A1" s="144" t="s">
        <v>45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</row>
    <row r="3" spans="1:15">
      <c r="B3" s="67" t="s">
        <v>43</v>
      </c>
      <c r="C3" s="67">
        <v>2020</v>
      </c>
      <c r="D3" s="67">
        <v>2024</v>
      </c>
      <c r="E3" s="67">
        <v>2025</v>
      </c>
      <c r="F3" s="67">
        <v>2026</v>
      </c>
      <c r="G3" s="67">
        <v>2027</v>
      </c>
      <c r="H3" s="67">
        <v>2028</v>
      </c>
      <c r="I3" s="67">
        <v>2029</v>
      </c>
      <c r="J3" s="67">
        <v>2030</v>
      </c>
      <c r="K3" s="67">
        <v>2031</v>
      </c>
      <c r="L3" s="67">
        <v>2032</v>
      </c>
      <c r="M3" s="67">
        <v>2033</v>
      </c>
      <c r="N3" s="67">
        <v>2034</v>
      </c>
      <c r="O3" s="67">
        <v>2035</v>
      </c>
    </row>
    <row r="4" spans="1:15">
      <c r="B4" s="4"/>
      <c r="C4" s="5">
        <f>Modelisation!C117*Modelisation!C28</f>
        <v>1.2822267853068676</v>
      </c>
      <c r="D4" s="5">
        <f>Modelisation!D117*Modelisation!D28</f>
        <v>1.7475770446807857</v>
      </c>
      <c r="E4" s="5">
        <f>Modelisation!E117*Modelisation!E28</f>
        <v>1.7462894135556202</v>
      </c>
      <c r="F4" s="5">
        <f>Modelisation!F117*Modelisation!F28</f>
        <v>1.743830539429335</v>
      </c>
      <c r="G4" s="5">
        <f>Modelisation!G117*Modelisation!G28</f>
        <v>1.7402004223019298</v>
      </c>
      <c r="H4" s="5">
        <f>Modelisation!H117*Modelisation!H28</f>
        <v>1.9795603163727327</v>
      </c>
      <c r="I4" s="5">
        <f>Modelisation!I117*Modelisation!I28</f>
        <v>2.4472696841277464</v>
      </c>
      <c r="J4" s="5">
        <f>Modelisation!J117*Modelisation!J28</f>
        <v>2.8942870921963095</v>
      </c>
      <c r="K4" s="5">
        <f>Modelisation!K117*Modelisation!K28</f>
        <v>3.3206125405784221</v>
      </c>
      <c r="L4" s="5">
        <f>Modelisation!L117*Modelisation!L28</f>
        <v>3.7262460292740851</v>
      </c>
      <c r="M4" s="5">
        <f>Modelisation!M117*Modelisation!M28</f>
        <v>4.111187558283298</v>
      </c>
      <c r="N4" s="5">
        <f>Modelisation!N117*Modelisation!N28</f>
        <v>4.4754371276060603</v>
      </c>
      <c r="O4" s="5">
        <f>Modelisation!O117*Modelisation!O28</f>
        <v>4.7937947372423757</v>
      </c>
    </row>
    <row r="6" spans="1:15" ht="18.600000000000001">
      <c r="A6" s="144" t="s">
        <v>42</v>
      </c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</row>
    <row r="9" spans="1:15">
      <c r="B9" s="67" t="s">
        <v>43</v>
      </c>
      <c r="C9" s="67">
        <v>2020</v>
      </c>
      <c r="D9" s="67">
        <v>2024</v>
      </c>
      <c r="E9" s="67">
        <v>2025</v>
      </c>
      <c r="F9" s="67">
        <v>2026</v>
      </c>
      <c r="G9" s="69">
        <v>2027</v>
      </c>
      <c r="H9" s="67">
        <v>2028</v>
      </c>
      <c r="I9" s="67">
        <v>2029</v>
      </c>
      <c r="J9" s="67">
        <v>2030</v>
      </c>
      <c r="K9" s="67">
        <v>2031</v>
      </c>
      <c r="L9" s="67">
        <v>2032</v>
      </c>
      <c r="M9" s="67">
        <v>2033</v>
      </c>
      <c r="N9" s="67">
        <v>2034</v>
      </c>
      <c r="O9" s="67">
        <v>2035</v>
      </c>
    </row>
    <row r="10" spans="1:15">
      <c r="C10" s="7">
        <f>C4</f>
        <v>1.2822267853068676</v>
      </c>
      <c r="D10" s="7">
        <f>C10</f>
        <v>1.2822267853068676</v>
      </c>
      <c r="E10" s="7">
        <f t="shared" ref="E10:O10" si="0">D10</f>
        <v>1.2822267853068676</v>
      </c>
      <c r="F10" s="7">
        <f t="shared" si="0"/>
        <v>1.2822267853068676</v>
      </c>
      <c r="G10" s="9">
        <f t="shared" si="0"/>
        <v>1.2822267853068676</v>
      </c>
      <c r="H10" s="7">
        <f t="shared" si="0"/>
        <v>1.2822267853068676</v>
      </c>
      <c r="I10" s="7">
        <f t="shared" si="0"/>
        <v>1.2822267853068676</v>
      </c>
      <c r="J10" s="7">
        <f t="shared" si="0"/>
        <v>1.2822267853068676</v>
      </c>
      <c r="K10" s="7">
        <f t="shared" si="0"/>
        <v>1.2822267853068676</v>
      </c>
      <c r="L10" s="7">
        <f t="shared" si="0"/>
        <v>1.2822267853068676</v>
      </c>
      <c r="M10" s="7">
        <f t="shared" si="0"/>
        <v>1.2822267853068676</v>
      </c>
      <c r="N10" s="7">
        <f t="shared" si="0"/>
        <v>1.2822267853068676</v>
      </c>
      <c r="O10" s="7">
        <f t="shared" si="0"/>
        <v>1.2822267853068676</v>
      </c>
    </row>
    <row r="11" spans="1:15">
      <c r="D11" s="7">
        <f>D4-C4</f>
        <v>0.46535025937391805</v>
      </c>
      <c r="E11" s="6">
        <f>D11</f>
        <v>0.46535025937391805</v>
      </c>
      <c r="F11" s="6">
        <f t="shared" ref="F11:O11" si="1">E11</f>
        <v>0.46535025937391805</v>
      </c>
      <c r="G11" s="6">
        <f t="shared" si="1"/>
        <v>0.46535025937391805</v>
      </c>
      <c r="H11" s="7">
        <f t="shared" si="1"/>
        <v>0.46535025937391805</v>
      </c>
      <c r="I11" s="7">
        <f t="shared" si="1"/>
        <v>0.46535025937391805</v>
      </c>
      <c r="J11" s="7">
        <f t="shared" si="1"/>
        <v>0.46535025937391805</v>
      </c>
      <c r="K11" s="7">
        <f t="shared" si="1"/>
        <v>0.46535025937391805</v>
      </c>
      <c r="L11" s="7">
        <f t="shared" si="1"/>
        <v>0.46535025937391805</v>
      </c>
      <c r="M11" s="7">
        <f t="shared" si="1"/>
        <v>0.46535025937391805</v>
      </c>
      <c r="N11" s="7">
        <f t="shared" si="1"/>
        <v>0.46535025937391805</v>
      </c>
      <c r="O11" s="7">
        <f t="shared" si="1"/>
        <v>0.46535025937391805</v>
      </c>
    </row>
    <row r="12" spans="1:15">
      <c r="E12" s="7">
        <f>E4-D4</f>
        <v>-1.2876311251655004E-3</v>
      </c>
      <c r="F12" s="7">
        <f>E12</f>
        <v>-1.2876311251655004E-3</v>
      </c>
      <c r="G12" s="9">
        <f t="shared" ref="G12:O12" si="2">F12</f>
        <v>-1.2876311251655004E-3</v>
      </c>
      <c r="H12" s="7">
        <f t="shared" si="2"/>
        <v>-1.2876311251655004E-3</v>
      </c>
      <c r="I12" s="7">
        <f t="shared" si="2"/>
        <v>-1.2876311251655004E-3</v>
      </c>
      <c r="J12" s="7">
        <f t="shared" si="2"/>
        <v>-1.2876311251655004E-3</v>
      </c>
      <c r="K12" s="7">
        <f t="shared" si="2"/>
        <v>-1.2876311251655004E-3</v>
      </c>
      <c r="L12" s="7">
        <f t="shared" si="2"/>
        <v>-1.2876311251655004E-3</v>
      </c>
      <c r="M12" s="7">
        <f t="shared" si="2"/>
        <v>-1.2876311251655004E-3</v>
      </c>
      <c r="N12" s="7">
        <f t="shared" si="2"/>
        <v>-1.2876311251655004E-3</v>
      </c>
      <c r="O12" s="7">
        <f t="shared" si="2"/>
        <v>-1.2876311251655004E-3</v>
      </c>
    </row>
    <row r="13" spans="1:15">
      <c r="E13" s="6"/>
      <c r="F13" s="7">
        <f>F4-E4</f>
        <v>-2.4588741262852043E-3</v>
      </c>
      <c r="G13" s="6">
        <f>F13</f>
        <v>-2.4588741262852043E-3</v>
      </c>
      <c r="H13" s="7">
        <f t="shared" ref="H13:O13" si="3">G13</f>
        <v>-2.4588741262852043E-3</v>
      </c>
      <c r="I13" s="7">
        <f t="shared" si="3"/>
        <v>-2.4588741262852043E-3</v>
      </c>
      <c r="J13" s="7">
        <f t="shared" si="3"/>
        <v>-2.4588741262852043E-3</v>
      </c>
      <c r="K13" s="7">
        <f t="shared" si="3"/>
        <v>-2.4588741262852043E-3</v>
      </c>
      <c r="L13" s="7">
        <f t="shared" si="3"/>
        <v>-2.4588741262852043E-3</v>
      </c>
      <c r="M13" s="7">
        <f t="shared" si="3"/>
        <v>-2.4588741262852043E-3</v>
      </c>
      <c r="N13" s="7">
        <f t="shared" si="3"/>
        <v>-2.4588741262852043E-3</v>
      </c>
      <c r="O13" s="7">
        <f t="shared" si="3"/>
        <v>-2.4588741262852043E-3</v>
      </c>
    </row>
    <row r="14" spans="1:15">
      <c r="C14" s="6"/>
      <c r="E14" s="6"/>
      <c r="F14" s="6"/>
      <c r="G14" s="9">
        <f>G4-F4</f>
        <v>-3.6301171274051303E-3</v>
      </c>
      <c r="H14" s="7">
        <f>G14</f>
        <v>-3.6301171274051303E-3</v>
      </c>
      <c r="I14" s="7">
        <f t="shared" ref="I14:O14" si="4">H14</f>
        <v>-3.6301171274051303E-3</v>
      </c>
      <c r="J14" s="7">
        <f t="shared" si="4"/>
        <v>-3.6301171274051303E-3</v>
      </c>
      <c r="K14" s="7">
        <f t="shared" si="4"/>
        <v>-3.6301171274051303E-3</v>
      </c>
      <c r="L14" s="7">
        <f t="shared" si="4"/>
        <v>-3.6301171274051303E-3</v>
      </c>
      <c r="M14" s="7">
        <f t="shared" si="4"/>
        <v>-3.6301171274051303E-3</v>
      </c>
      <c r="N14" s="7">
        <f t="shared" si="4"/>
        <v>-3.6301171274051303E-3</v>
      </c>
      <c r="O14" s="7">
        <f t="shared" si="4"/>
        <v>-3.6301171274051303E-3</v>
      </c>
    </row>
    <row r="15" spans="1:15">
      <c r="C15" s="6"/>
      <c r="D15" s="6"/>
      <c r="E15" s="6"/>
      <c r="F15" s="6"/>
      <c r="G15" s="6"/>
      <c r="H15" s="7">
        <f>H4-G4</f>
        <v>0.23935989407080283</v>
      </c>
      <c r="I15" s="7">
        <f>H15</f>
        <v>0.23935989407080283</v>
      </c>
      <c r="J15" s="7">
        <f t="shared" ref="J15:O15" si="5">I15</f>
        <v>0.23935989407080283</v>
      </c>
      <c r="K15" s="7">
        <f t="shared" si="5"/>
        <v>0.23935989407080283</v>
      </c>
      <c r="L15" s="7">
        <f t="shared" si="5"/>
        <v>0.23935989407080283</v>
      </c>
      <c r="M15" s="7">
        <f t="shared" si="5"/>
        <v>0.23935989407080283</v>
      </c>
      <c r="N15" s="7">
        <f t="shared" si="5"/>
        <v>0.23935989407080283</v>
      </c>
      <c r="O15" s="7">
        <f t="shared" si="5"/>
        <v>0.23935989407080283</v>
      </c>
    </row>
    <row r="16" spans="1:15">
      <c r="C16" s="6"/>
      <c r="D16" s="6"/>
      <c r="E16" s="6"/>
      <c r="F16" s="6"/>
      <c r="G16" s="6"/>
      <c r="H16" s="6"/>
      <c r="I16" s="7">
        <f>I4-H4</f>
        <v>0.46770936775501371</v>
      </c>
      <c r="J16" s="7">
        <f>I16</f>
        <v>0.46770936775501371</v>
      </c>
      <c r="K16" s="7">
        <f t="shared" ref="K16:O16" si="6">J16</f>
        <v>0.46770936775501371</v>
      </c>
      <c r="L16" s="7">
        <f t="shared" si="6"/>
        <v>0.46770936775501371</v>
      </c>
      <c r="M16" s="7">
        <f t="shared" si="6"/>
        <v>0.46770936775501371</v>
      </c>
      <c r="N16" s="7">
        <f t="shared" si="6"/>
        <v>0.46770936775501371</v>
      </c>
      <c r="O16" s="7">
        <f t="shared" si="6"/>
        <v>0.46770936775501371</v>
      </c>
    </row>
    <row r="17" spans="1:17">
      <c r="C17" s="6"/>
      <c r="D17" s="6"/>
      <c r="E17" s="6"/>
      <c r="F17" s="6"/>
      <c r="G17" s="6"/>
      <c r="H17" s="6"/>
      <c r="I17" s="6"/>
      <c r="J17" s="10">
        <f>J4-I4</f>
        <v>0.44701740806856316</v>
      </c>
      <c r="K17" s="7">
        <f>J17</f>
        <v>0.44701740806856316</v>
      </c>
      <c r="L17" s="7">
        <f t="shared" ref="L17:O17" si="7">K17</f>
        <v>0.44701740806856316</v>
      </c>
      <c r="M17" s="7">
        <f t="shared" si="7"/>
        <v>0.44701740806856316</v>
      </c>
      <c r="N17" s="7">
        <f t="shared" si="7"/>
        <v>0.44701740806856316</v>
      </c>
      <c r="O17" s="7">
        <f t="shared" si="7"/>
        <v>0.44701740806856316</v>
      </c>
    </row>
    <row r="18" spans="1:17">
      <c r="C18" s="6"/>
      <c r="D18" s="6"/>
      <c r="E18" s="6"/>
      <c r="F18" s="6"/>
      <c r="G18" s="6"/>
      <c r="H18" s="6"/>
      <c r="I18" s="6"/>
      <c r="J18" s="6"/>
      <c r="K18" s="7">
        <f>K4-J4</f>
        <v>0.42632544838211262</v>
      </c>
      <c r="L18" s="7">
        <f>K18</f>
        <v>0.42632544838211262</v>
      </c>
      <c r="M18" s="7">
        <f t="shared" ref="M18:O18" si="8">L18</f>
        <v>0.42632544838211262</v>
      </c>
      <c r="N18" s="7">
        <f t="shared" si="8"/>
        <v>0.42632544838211262</v>
      </c>
      <c r="O18" s="7">
        <f t="shared" si="8"/>
        <v>0.42632544838211262</v>
      </c>
    </row>
    <row r="19" spans="1:17">
      <c r="C19" s="6"/>
      <c r="D19" s="6"/>
      <c r="E19" s="6"/>
      <c r="F19" s="6"/>
      <c r="G19" s="6"/>
      <c r="H19" s="6"/>
      <c r="I19" s="6"/>
      <c r="J19" s="6"/>
      <c r="K19" s="6"/>
      <c r="L19" s="7">
        <f>L4-K4</f>
        <v>0.40563348869566296</v>
      </c>
      <c r="M19" s="7">
        <f>L19</f>
        <v>0.40563348869566296</v>
      </c>
      <c r="N19" s="7">
        <f t="shared" ref="N19:O19" si="9">M19</f>
        <v>0.40563348869566296</v>
      </c>
      <c r="O19" s="7">
        <f t="shared" si="9"/>
        <v>0.40563348869566296</v>
      </c>
    </row>
    <row r="20" spans="1:17">
      <c r="C20" s="6"/>
      <c r="D20" s="6"/>
      <c r="E20" s="6"/>
      <c r="F20" s="6"/>
      <c r="G20" s="6"/>
      <c r="H20" s="6"/>
      <c r="I20" s="6"/>
      <c r="J20" s="6"/>
      <c r="K20" s="6"/>
      <c r="L20" s="6"/>
      <c r="M20" s="10">
        <f>M4-L4</f>
        <v>0.38494152900921286</v>
      </c>
      <c r="N20" s="7">
        <f>M20</f>
        <v>0.38494152900921286</v>
      </c>
      <c r="O20" s="7">
        <f>N20</f>
        <v>0.38494152900921286</v>
      </c>
    </row>
    <row r="21" spans="1:17"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7">
        <f>N4-M4</f>
        <v>0.36424956932276231</v>
      </c>
      <c r="O21" s="7">
        <f>N21</f>
        <v>0.36424956932276231</v>
      </c>
    </row>
    <row r="22" spans="1:17"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7">
        <f>O4-N4</f>
        <v>0.31835760963631543</v>
      </c>
    </row>
    <row r="25" spans="1:17" ht="18.600000000000001">
      <c r="A25" s="144" t="s">
        <v>39</v>
      </c>
      <c r="B25" s="144"/>
      <c r="C25" s="144"/>
      <c r="D25" s="144"/>
      <c r="E25" s="144"/>
      <c r="F25" s="144"/>
      <c r="G25" s="144"/>
      <c r="H25" s="144"/>
      <c r="I25" s="144"/>
      <c r="J25" s="144"/>
      <c r="K25" s="144"/>
      <c r="L25" s="144"/>
      <c r="M25" s="144"/>
      <c r="N25" s="144"/>
      <c r="O25" s="144"/>
    </row>
    <row r="26" spans="1:17"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</row>
    <row r="27" spans="1:17">
      <c r="B27" s="68" t="s">
        <v>39</v>
      </c>
      <c r="C27" s="66">
        <v>1</v>
      </c>
      <c r="D27" s="66">
        <v>2</v>
      </c>
      <c r="E27" s="66">
        <v>3</v>
      </c>
      <c r="F27" s="66">
        <v>4</v>
      </c>
      <c r="G27" s="66">
        <v>5</v>
      </c>
      <c r="H27" s="66">
        <v>6</v>
      </c>
      <c r="I27" s="66">
        <v>7</v>
      </c>
      <c r="J27" s="66">
        <v>8</v>
      </c>
      <c r="K27" s="66">
        <v>9</v>
      </c>
      <c r="L27" s="66">
        <v>10</v>
      </c>
      <c r="M27" s="66">
        <v>11</v>
      </c>
      <c r="N27" s="66">
        <v>12</v>
      </c>
      <c r="O27" s="66">
        <v>13</v>
      </c>
      <c r="P27" s="66">
        <v>14</v>
      </c>
      <c r="Q27" s="66">
        <v>15</v>
      </c>
    </row>
    <row r="28" spans="1:17">
      <c r="B28" s="11" t="s">
        <v>52</v>
      </c>
      <c r="C28" s="5">
        <f>Modelisation!C70</f>
        <v>0.2</v>
      </c>
      <c r="D28" s="5">
        <f>Modelisation!D70</f>
        <v>0.22142857142857145</v>
      </c>
      <c r="E28" s="5">
        <f>Modelisation!E70</f>
        <v>0.24285714285714288</v>
      </c>
      <c r="F28" s="5">
        <f>Modelisation!F70</f>
        <v>0.26428571428571429</v>
      </c>
      <c r="G28" s="5">
        <f>Modelisation!G70</f>
        <v>0.2857142857142857</v>
      </c>
      <c r="H28" s="5">
        <f>Modelisation!H70</f>
        <v>0.30714285714285711</v>
      </c>
      <c r="I28" s="5">
        <f>Modelisation!I70</f>
        <v>0.32857142857142851</v>
      </c>
      <c r="J28" s="5">
        <f>Modelisation!J70</f>
        <v>0.34999999999999992</v>
      </c>
      <c r="K28" s="5">
        <f>Modelisation!K70</f>
        <v>0.37142857142857133</v>
      </c>
      <c r="L28" s="5">
        <f>Modelisation!L70</f>
        <v>0.39285714285714274</v>
      </c>
      <c r="M28" s="5">
        <f>Modelisation!M70</f>
        <v>0.41428571428571415</v>
      </c>
      <c r="N28" s="5">
        <f>Modelisation!N70</f>
        <v>0.43571428571428555</v>
      </c>
      <c r="O28" s="5">
        <f>Modelisation!O70</f>
        <v>0.45714285714285696</v>
      </c>
      <c r="P28" s="5">
        <f>Modelisation!P70</f>
        <v>0.47857142857142837</v>
      </c>
      <c r="Q28" s="5">
        <f>Modelisation!Q70</f>
        <v>0.5</v>
      </c>
    </row>
    <row r="29" spans="1:17"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</row>
    <row r="30" spans="1:17" ht="18.600000000000001">
      <c r="A30" s="144" t="s">
        <v>11</v>
      </c>
      <c r="B30" s="144"/>
      <c r="C30" s="144"/>
      <c r="D30" s="144"/>
      <c r="E30" s="144"/>
      <c r="F30" s="144"/>
      <c r="G30" s="144"/>
      <c r="H30" s="144"/>
      <c r="I30" s="144"/>
      <c r="J30" s="144"/>
      <c r="K30" s="144"/>
      <c r="L30" s="144"/>
      <c r="M30" s="144"/>
      <c r="N30" s="144"/>
      <c r="O30" s="144"/>
    </row>
    <row r="31" spans="1:17"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</row>
    <row r="32" spans="1:17">
      <c r="B32" s="67" t="s">
        <v>47</v>
      </c>
      <c r="C32" s="67">
        <v>2020</v>
      </c>
      <c r="D32" s="67">
        <v>2024</v>
      </c>
      <c r="E32" s="67">
        <v>2025</v>
      </c>
      <c r="F32" s="67">
        <v>2026</v>
      </c>
      <c r="G32" s="67">
        <v>2027</v>
      </c>
      <c r="H32" s="67">
        <v>2028</v>
      </c>
      <c r="I32" s="67">
        <v>2029</v>
      </c>
      <c r="J32" s="67">
        <v>2030</v>
      </c>
      <c r="K32" s="67">
        <v>2031</v>
      </c>
      <c r="L32" s="67">
        <v>2032</v>
      </c>
      <c r="M32" s="67">
        <v>2033</v>
      </c>
      <c r="N32" s="67">
        <v>2034</v>
      </c>
      <c r="O32" s="67">
        <v>2035</v>
      </c>
    </row>
    <row r="33" spans="2:15">
      <c r="B33" s="11" t="s">
        <v>52</v>
      </c>
      <c r="C33" s="7">
        <f>C10*J28*365.25*24/1000</f>
        <v>3.9340000000000002</v>
      </c>
      <c r="D33" s="7">
        <f>(D10*N28+D11*C28)*365.25*24/1000</f>
        <v>5.7132806461629242</v>
      </c>
      <c r="E33" s="7">
        <f>(E10*O28+E11*D28+E12*C28)*365.25*24/1000</f>
        <v>6.0392930364243931</v>
      </c>
      <c r="F33" s="7">
        <f>(F10*P28+F11*E28+F12*D28+F13*C28)*365.25*24/1000</f>
        <v>6.3630101311468028</v>
      </c>
      <c r="G33" s="7">
        <f>(G10*Q28+G11*F28+G12*E28+G13*D28+G14*C28)*365.25*24/1000</f>
        <v>6.6842119206984139</v>
      </c>
      <c r="H33" s="7">
        <f>(H10*Q28+H11*G28+H12*F28+H13*E28+H14*D28+H15*C28)*365.25*24/1000</f>
        <v>7.1898847634526026</v>
      </c>
      <c r="I33" s="7">
        <f>(I10*Q28+I11*H28+I12*G28+I13*F28+I14*E28+I15*D28+I16*C28)*365.25*24/1000</f>
        <v>8.1408619498576211</v>
      </c>
      <c r="J33" s="7">
        <f>(J10*Q28+J11*I28+J12*H28+J13*G28+J14*F28+J15*E28+J16*D28+J17*C28)*365.25*24/1000</f>
        <v>9.1434178564919382</v>
      </c>
      <c r="K33" s="7">
        <f>(K10*Q28+K11*J28+K12*I28+K13*H28+K14*G28+K15*F28+K16*E28+K17*D28+K18*C28)*365.25*24/1000</f>
        <v>10.19366564652816</v>
      </c>
      <c r="L33" s="7">
        <f>(L10*Q28+L11*K28+L12*J28+L13*I28+L14*H28+L15*G28+L16*F28+L17*E28+L18*D28+L19*C28)*365.25*24/1000</f>
        <v>11.287718483138907</v>
      </c>
      <c r="M33" s="7">
        <f>(M10*Q28+M11*L28+M12*K28+M13*J28+M14*I28+M15*H28+M16*G28+M17*F28+M18*E28+M19*D28+M20*C28)*365.25*24/1000</f>
        <v>12.421689529496785</v>
      </c>
      <c r="N33" s="7">
        <f>(N10*Q28+N11*M28+N12*L28+N13*K28+N14*J28+N15*I28+N16*H28+N17*G28+N18*F28+N19*E28+N20*D28+N21*C28)*365.25*24/1000</f>
        <v>13.591691948774413</v>
      </c>
      <c r="O33" s="7">
        <f>(O10*Q28+O11*N28+O12*M28+O13*L28+O14*K28+O15*J28+O16*I28+O17*H28+O18*G28+O19*F28+O20*E28+O21*D28+O22*C28)*365.25*24/1000</f>
        <v>14.749658264144399</v>
      </c>
    </row>
  </sheetData>
  <mergeCells count="4">
    <mergeCell ref="A1:O1"/>
    <mergeCell ref="A6:O6"/>
    <mergeCell ref="A25:O25"/>
    <mergeCell ref="A30:O3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CA153-C42C-5B49-8805-80FDD91225EC}">
  <sheetPr>
    <tabColor theme="5" tint="0.39997558519241921"/>
  </sheetPr>
  <dimension ref="A1:S44"/>
  <sheetViews>
    <sheetView zoomScale="55" workbookViewId="0">
      <selection sqref="A1:O1"/>
    </sheetView>
  </sheetViews>
  <sheetFormatPr defaultColWidth="11.5546875" defaultRowHeight="15.6"/>
  <cols>
    <col min="2" max="2" width="27.33203125" customWidth="1"/>
    <col min="3" max="9" width="10.88671875" bestFit="1" customWidth="1"/>
    <col min="10" max="11" width="11.33203125" bestFit="1" customWidth="1"/>
    <col min="12" max="12" width="12.33203125" bestFit="1" customWidth="1"/>
    <col min="13" max="14" width="13.33203125" bestFit="1" customWidth="1"/>
    <col min="15" max="15" width="14.33203125" bestFit="1" customWidth="1"/>
    <col min="16" max="19" width="10.88671875" bestFit="1" customWidth="1"/>
  </cols>
  <sheetData>
    <row r="1" spans="1:19" ht="18.600000000000001">
      <c r="A1" s="144" t="s">
        <v>53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</row>
    <row r="2" spans="1:19" ht="27.95" customHeight="1">
      <c r="H2" s="12"/>
      <c r="I2" s="146"/>
      <c r="J2" s="146"/>
      <c r="K2" s="146"/>
      <c r="L2" s="146"/>
      <c r="M2" s="146"/>
      <c r="N2" s="146"/>
      <c r="O2" s="146"/>
      <c r="P2" s="146"/>
      <c r="Q2" s="146"/>
    </row>
    <row r="3" spans="1:19" ht="24.95" customHeight="1">
      <c r="B3" s="70"/>
      <c r="C3" s="73" t="s">
        <v>54</v>
      </c>
      <c r="D3" s="73">
        <v>2026</v>
      </c>
      <c r="E3" s="73">
        <v>2027</v>
      </c>
      <c r="F3" s="73">
        <v>2028</v>
      </c>
      <c r="G3" s="73">
        <v>2029</v>
      </c>
      <c r="H3" s="73">
        <v>2030</v>
      </c>
      <c r="I3" s="73">
        <v>2031</v>
      </c>
      <c r="J3" s="73">
        <v>2032</v>
      </c>
      <c r="K3" s="73">
        <v>2033</v>
      </c>
      <c r="L3" s="73">
        <v>2034</v>
      </c>
      <c r="M3" s="73">
        <v>2035</v>
      </c>
    </row>
    <row r="4" spans="1:19" ht="30.95">
      <c r="B4" s="17" t="s">
        <v>55</v>
      </c>
      <c r="C4" s="16">
        <f>AVERAGE(D8:H8)</f>
        <v>4.7304993298836577E-2</v>
      </c>
      <c r="D4" s="16">
        <v>0.06</v>
      </c>
      <c r="E4" s="111">
        <v>7.0000000000000007E-2</v>
      </c>
      <c r="F4" s="111">
        <v>0.08</v>
      </c>
      <c r="G4" s="111">
        <v>0.09</v>
      </c>
      <c r="H4" s="111">
        <v>0.1</v>
      </c>
      <c r="I4" s="111">
        <v>0.1</v>
      </c>
      <c r="J4" s="111">
        <v>0.1</v>
      </c>
      <c r="K4" s="111">
        <v>0.1</v>
      </c>
      <c r="L4" s="111">
        <v>0.1</v>
      </c>
      <c r="M4" s="111">
        <v>0.1</v>
      </c>
    </row>
    <row r="5" spans="1:19">
      <c r="C5" s="3"/>
      <c r="D5" s="3"/>
    </row>
    <row r="6" spans="1:19">
      <c r="B6" s="72"/>
      <c r="C6" s="71">
        <v>2019</v>
      </c>
      <c r="D6" s="71">
        <v>2020</v>
      </c>
      <c r="E6" s="71">
        <v>2021</v>
      </c>
      <c r="F6" s="71">
        <v>2022</v>
      </c>
      <c r="G6" s="71">
        <v>2023</v>
      </c>
      <c r="H6" s="71">
        <v>2024</v>
      </c>
      <c r="I6" s="71">
        <v>2025</v>
      </c>
      <c r="J6" s="71">
        <v>2026</v>
      </c>
      <c r="K6" s="71">
        <v>2027</v>
      </c>
      <c r="L6" s="71">
        <v>2028</v>
      </c>
      <c r="M6" s="71">
        <v>2029</v>
      </c>
      <c r="N6" s="71">
        <v>2030</v>
      </c>
      <c r="O6" s="71">
        <v>2031</v>
      </c>
      <c r="P6" s="71">
        <v>2032</v>
      </c>
      <c r="Q6" s="71">
        <v>2033</v>
      </c>
      <c r="R6" s="71">
        <v>2034</v>
      </c>
      <c r="S6" s="71">
        <v>2035</v>
      </c>
    </row>
    <row r="7" spans="1:19">
      <c r="B7" s="5" t="s">
        <v>56</v>
      </c>
      <c r="C7" s="8">
        <v>2.34</v>
      </c>
      <c r="D7" s="8">
        <v>2.61</v>
      </c>
      <c r="E7" s="8">
        <v>2.71</v>
      </c>
      <c r="F7" s="8">
        <v>2.79</v>
      </c>
      <c r="G7" s="8">
        <v>2.82</v>
      </c>
      <c r="H7" s="8">
        <v>2.94</v>
      </c>
      <c r="I7" s="5">
        <f>H7*(1+$C$4)</f>
        <v>3.0790766802985794</v>
      </c>
      <c r="J7" s="5">
        <f t="shared" ref="J7:S7" si="0">I7*(1+D4)</f>
        <v>3.2638212811164942</v>
      </c>
      <c r="K7" s="5">
        <f t="shared" si="0"/>
        <v>3.4922887707946488</v>
      </c>
      <c r="L7" s="5">
        <f t="shared" si="0"/>
        <v>3.7716718724582208</v>
      </c>
      <c r="M7" s="5">
        <f t="shared" si="0"/>
        <v>4.1111223409794606</v>
      </c>
      <c r="N7" s="5">
        <f t="shared" si="0"/>
        <v>4.5222345750774071</v>
      </c>
      <c r="O7" s="5">
        <f t="shared" si="0"/>
        <v>4.9744580325851482</v>
      </c>
      <c r="P7" s="5">
        <f t="shared" si="0"/>
        <v>5.4719038358436638</v>
      </c>
      <c r="Q7" s="5">
        <f t="shared" si="0"/>
        <v>6.0190942194280304</v>
      </c>
      <c r="R7" s="5">
        <f t="shared" si="0"/>
        <v>6.6210036413708337</v>
      </c>
      <c r="S7" s="5">
        <f t="shared" si="0"/>
        <v>7.2831040055079175</v>
      </c>
    </row>
    <row r="8" spans="1:19">
      <c r="B8" s="5" t="s">
        <v>57</v>
      </c>
      <c r="C8" s="5"/>
      <c r="D8" s="126">
        <f>(D7-C7)/C7</f>
        <v>0.1153846153846154</v>
      </c>
      <c r="E8" s="126">
        <f t="shared" ref="E8:I8" si="1">(E7-D7)/D7</f>
        <v>3.8314176245210767E-2</v>
      </c>
      <c r="F8" s="126">
        <f t="shared" si="1"/>
        <v>2.9520295202952056E-2</v>
      </c>
      <c r="G8" s="126">
        <f t="shared" si="1"/>
        <v>1.075268817204294E-2</v>
      </c>
      <c r="H8" s="126">
        <f t="shared" si="1"/>
        <v>4.2553191489361743E-2</v>
      </c>
      <c r="I8" s="126">
        <f t="shared" si="1"/>
        <v>4.7304993298836549E-2</v>
      </c>
      <c r="J8" s="5"/>
      <c r="K8" s="5"/>
      <c r="L8" s="5"/>
      <c r="M8" s="5"/>
      <c r="N8" s="5"/>
      <c r="O8" s="5"/>
      <c r="P8" s="5"/>
      <c r="Q8" s="5"/>
      <c r="R8" s="5"/>
      <c r="S8" s="5"/>
    </row>
    <row r="9" spans="1:19" ht="30.95">
      <c r="B9" s="127" t="s">
        <v>58</v>
      </c>
      <c r="C9" s="5">
        <f>C7/0.35*1000/(365.25*24)</f>
        <v>0.76268700498679975</v>
      </c>
      <c r="D9" s="5">
        <f t="shared" ref="D9:S9" si="2">D7/0.35*1000/(365.25*24)</f>
        <v>0.85068935171604576</v>
      </c>
      <c r="E9" s="5">
        <f t="shared" si="2"/>
        <v>0.88328281346761839</v>
      </c>
      <c r="F9" s="5">
        <f t="shared" si="2"/>
        <v>0.90935758286887658</v>
      </c>
      <c r="G9" s="5">
        <f t="shared" si="2"/>
        <v>0.91913562139434823</v>
      </c>
      <c r="H9" s="5">
        <f t="shared" si="2"/>
        <v>0.95824777549623541</v>
      </c>
      <c r="I9" s="5">
        <f t="shared" si="2"/>
        <v>1.0035776800947098</v>
      </c>
      <c r="J9" s="5">
        <f>J7/0.35*1000/(365.25*24)</f>
        <v>1.0637923409003927</v>
      </c>
      <c r="K9" s="5">
        <f t="shared" si="2"/>
        <v>1.1382578047634202</v>
      </c>
      <c r="L9" s="5">
        <f t="shared" si="2"/>
        <v>1.2293184291444939</v>
      </c>
      <c r="M9" s="5">
        <f t="shared" si="2"/>
        <v>1.339957087767498</v>
      </c>
      <c r="N9" s="5">
        <f t="shared" si="2"/>
        <v>1.473952796544248</v>
      </c>
      <c r="O9" s="5">
        <f t="shared" si="2"/>
        <v>1.6213480761986729</v>
      </c>
      <c r="P9" s="5">
        <f t="shared" si="2"/>
        <v>1.7834828838185404</v>
      </c>
      <c r="Q9" s="5">
        <f t="shared" si="2"/>
        <v>1.9618311722003947</v>
      </c>
      <c r="R9" s="5">
        <f t="shared" si="2"/>
        <v>2.1580142894204339</v>
      </c>
      <c r="S9" s="5">
        <f t="shared" si="2"/>
        <v>2.373815718362478</v>
      </c>
    </row>
    <row r="10" spans="1:19" ht="46.5">
      <c r="B10" s="127" t="s">
        <v>59</v>
      </c>
      <c r="C10" s="110">
        <f>C9*0.5</f>
        <v>0.38134350249339988</v>
      </c>
      <c r="D10" s="110">
        <f t="shared" ref="D10:S10" si="3">D9*0.5</f>
        <v>0.42534467585802288</v>
      </c>
      <c r="E10" s="110">
        <f t="shared" si="3"/>
        <v>0.44164140673380919</v>
      </c>
      <c r="F10" s="110">
        <f t="shared" si="3"/>
        <v>0.45467879143443829</v>
      </c>
      <c r="G10" s="110">
        <f t="shared" si="3"/>
        <v>0.45956781069717412</v>
      </c>
      <c r="H10" s="110">
        <f t="shared" si="3"/>
        <v>0.4791238877481177</v>
      </c>
      <c r="I10" s="110">
        <f t="shared" si="3"/>
        <v>0.50178884004735491</v>
      </c>
      <c r="J10" s="110">
        <f t="shared" si="3"/>
        <v>0.53189617045019633</v>
      </c>
      <c r="K10" s="110">
        <f t="shared" si="3"/>
        <v>0.5691289023817101</v>
      </c>
      <c r="L10" s="110">
        <f t="shared" si="3"/>
        <v>0.61465921457224693</v>
      </c>
      <c r="M10" s="110">
        <f t="shared" si="3"/>
        <v>0.669978543883749</v>
      </c>
      <c r="N10" s="110">
        <f t="shared" si="3"/>
        <v>0.73697639827212402</v>
      </c>
      <c r="O10" s="110">
        <f t="shared" si="3"/>
        <v>0.81067403809933647</v>
      </c>
      <c r="P10" s="110">
        <f t="shared" si="3"/>
        <v>0.89174144190927018</v>
      </c>
      <c r="Q10" s="110">
        <f t="shared" si="3"/>
        <v>0.98091558610019736</v>
      </c>
      <c r="R10" s="110">
        <f t="shared" si="3"/>
        <v>1.079007144710217</v>
      </c>
      <c r="S10" s="110">
        <f t="shared" si="3"/>
        <v>1.186907859181239</v>
      </c>
    </row>
    <row r="11" spans="1:19">
      <c r="B11" s="5" t="s">
        <v>12</v>
      </c>
      <c r="C11" s="110">
        <f>C9+C10</f>
        <v>1.1440305074801995</v>
      </c>
      <c r="D11" s="110">
        <f t="shared" ref="D11:I11" si="4">D9+D10</f>
        <v>1.2760340275740687</v>
      </c>
      <c r="E11" s="110">
        <f t="shared" si="4"/>
        <v>1.3249242202014275</v>
      </c>
      <c r="F11" s="110">
        <f t="shared" si="4"/>
        <v>1.3640363743033148</v>
      </c>
      <c r="G11" s="110">
        <f t="shared" si="4"/>
        <v>1.3787034320915224</v>
      </c>
      <c r="H11" s="110">
        <f t="shared" si="4"/>
        <v>1.4373716632443532</v>
      </c>
      <c r="I11" s="110">
        <f t="shared" si="4"/>
        <v>1.5053665201420647</v>
      </c>
      <c r="J11" s="110">
        <f t="shared" ref="J11" si="5">J9+J10</f>
        <v>1.595688511350589</v>
      </c>
      <c r="K11" s="110">
        <f t="shared" ref="K11" si="6">K9+K10</f>
        <v>1.7073867071451303</v>
      </c>
      <c r="L11" s="110">
        <f t="shared" ref="L11" si="7">L9+L10</f>
        <v>1.8439776437167408</v>
      </c>
      <c r="M11" s="110">
        <f t="shared" ref="M11" si="8">M9+M10</f>
        <v>2.0099356316512469</v>
      </c>
      <c r="N11" s="110">
        <f t="shared" ref="N11" si="9">N9+N10</f>
        <v>2.2109291948163721</v>
      </c>
      <c r="O11" s="110">
        <f t="shared" ref="O11" si="10">O9+O10</f>
        <v>2.4320221142980092</v>
      </c>
      <c r="P11" s="110">
        <f t="shared" ref="P11" si="11">P9+P10</f>
        <v>2.6752243257278105</v>
      </c>
      <c r="Q11" s="110">
        <f t="shared" ref="Q11" si="12">Q9+Q10</f>
        <v>2.9427467583005922</v>
      </c>
      <c r="R11" s="110">
        <f t="shared" ref="R11" si="13">R9+R10</f>
        <v>3.2370214341306509</v>
      </c>
      <c r="S11" s="110">
        <f t="shared" ref="S11" si="14">S9+S10</f>
        <v>3.5607235775437172</v>
      </c>
    </row>
    <row r="13" spans="1:19" ht="18.600000000000001">
      <c r="A13" s="144" t="s">
        <v>45</v>
      </c>
      <c r="B13" s="144"/>
      <c r="C13" s="144"/>
      <c r="D13" s="144"/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4"/>
    </row>
    <row r="15" spans="1:19">
      <c r="B15" s="67" t="s">
        <v>43</v>
      </c>
      <c r="C15" s="67">
        <v>2020</v>
      </c>
      <c r="D15" s="67">
        <v>2024</v>
      </c>
      <c r="E15" s="67">
        <v>2025</v>
      </c>
      <c r="F15" s="67">
        <v>2026</v>
      </c>
      <c r="G15" s="67">
        <v>2027</v>
      </c>
      <c r="H15" s="67">
        <v>2028</v>
      </c>
      <c r="I15" s="67">
        <v>2029</v>
      </c>
      <c r="J15" s="67">
        <v>2030</v>
      </c>
      <c r="K15" s="67">
        <v>2031</v>
      </c>
      <c r="L15" s="67">
        <v>2032</v>
      </c>
      <c r="M15" s="67">
        <v>2033</v>
      </c>
      <c r="N15" s="67">
        <v>2034</v>
      </c>
      <c r="O15" s="67">
        <v>2035</v>
      </c>
    </row>
    <row r="16" spans="1:19">
      <c r="B16" s="4" t="s">
        <v>8</v>
      </c>
      <c r="C16" s="5">
        <f>D11</f>
        <v>1.2760340275740687</v>
      </c>
      <c r="D16" s="5">
        <f>H11</f>
        <v>1.4373716632443532</v>
      </c>
      <c r="E16" s="5">
        <f t="shared" ref="E16:O16" si="15">I11</f>
        <v>1.5053665201420647</v>
      </c>
      <c r="F16" s="5">
        <f t="shared" si="15"/>
        <v>1.595688511350589</v>
      </c>
      <c r="G16" s="5">
        <f t="shared" si="15"/>
        <v>1.7073867071451303</v>
      </c>
      <c r="H16" s="5">
        <f t="shared" si="15"/>
        <v>1.8439776437167408</v>
      </c>
      <c r="I16" s="5">
        <f t="shared" si="15"/>
        <v>2.0099356316512469</v>
      </c>
      <c r="J16" s="5">
        <f t="shared" si="15"/>
        <v>2.2109291948163721</v>
      </c>
      <c r="K16" s="5">
        <f t="shared" si="15"/>
        <v>2.4320221142980092</v>
      </c>
      <c r="L16" s="5">
        <f t="shared" si="15"/>
        <v>2.6752243257278105</v>
      </c>
      <c r="M16" s="5">
        <f t="shared" si="15"/>
        <v>2.9427467583005922</v>
      </c>
      <c r="N16" s="5">
        <f t="shared" si="15"/>
        <v>3.2370214341306509</v>
      </c>
      <c r="O16" s="5">
        <f t="shared" si="15"/>
        <v>3.5607235775437172</v>
      </c>
    </row>
    <row r="18" spans="1:15" ht="18.600000000000001">
      <c r="A18" s="144" t="s">
        <v>42</v>
      </c>
      <c r="B18" s="144"/>
      <c r="C18" s="144"/>
      <c r="D18" s="144"/>
      <c r="E18" s="144"/>
      <c r="F18" s="144"/>
      <c r="G18" s="144"/>
      <c r="H18" s="144"/>
      <c r="I18" s="144"/>
      <c r="J18" s="144"/>
      <c r="K18" s="144"/>
      <c r="L18" s="144"/>
      <c r="M18" s="144"/>
      <c r="N18" s="144"/>
      <c r="O18" s="144"/>
    </row>
    <row r="21" spans="1:15">
      <c r="B21" s="67" t="s">
        <v>43</v>
      </c>
      <c r="C21" s="67">
        <v>2020</v>
      </c>
      <c r="D21" s="67">
        <v>2024</v>
      </c>
      <c r="E21" s="67">
        <v>2025</v>
      </c>
      <c r="F21" s="67">
        <v>2026</v>
      </c>
      <c r="G21" s="67">
        <v>2027</v>
      </c>
      <c r="H21" s="67">
        <v>2028</v>
      </c>
      <c r="I21" s="67">
        <v>2029</v>
      </c>
      <c r="J21" s="67">
        <v>2030</v>
      </c>
      <c r="K21" s="67">
        <v>2031</v>
      </c>
      <c r="L21" s="67">
        <v>2032</v>
      </c>
      <c r="M21" s="67">
        <v>2033</v>
      </c>
      <c r="N21" s="67">
        <v>2034</v>
      </c>
      <c r="O21" s="67">
        <v>2035</v>
      </c>
    </row>
    <row r="22" spans="1:15">
      <c r="C22" s="7">
        <f>C16</f>
        <v>1.2760340275740687</v>
      </c>
      <c r="D22" s="7">
        <f>C22</f>
        <v>1.2760340275740687</v>
      </c>
      <c r="E22" s="7">
        <f t="shared" ref="E22:O25" si="16">D22</f>
        <v>1.2760340275740687</v>
      </c>
      <c r="F22" s="7">
        <f t="shared" si="16"/>
        <v>1.2760340275740687</v>
      </c>
      <c r="G22" s="7">
        <f t="shared" si="16"/>
        <v>1.2760340275740687</v>
      </c>
      <c r="H22" s="7">
        <f t="shared" si="16"/>
        <v>1.2760340275740687</v>
      </c>
      <c r="I22" s="7">
        <f t="shared" si="16"/>
        <v>1.2760340275740687</v>
      </c>
      <c r="J22" s="7">
        <f t="shared" si="16"/>
        <v>1.2760340275740687</v>
      </c>
      <c r="K22" s="7">
        <f t="shared" si="16"/>
        <v>1.2760340275740687</v>
      </c>
      <c r="L22" s="7">
        <f t="shared" si="16"/>
        <v>1.2760340275740687</v>
      </c>
      <c r="M22" s="7">
        <f t="shared" si="16"/>
        <v>1.2760340275740687</v>
      </c>
      <c r="N22" s="7">
        <f t="shared" si="16"/>
        <v>1.2760340275740687</v>
      </c>
      <c r="O22" s="7">
        <f t="shared" si="16"/>
        <v>1.2760340275740687</v>
      </c>
    </row>
    <row r="23" spans="1:15">
      <c r="C23" s="6"/>
      <c r="D23" s="7">
        <f>D16-C16</f>
        <v>0.16133763567028447</v>
      </c>
      <c r="E23" s="7">
        <f>D23</f>
        <v>0.16133763567028447</v>
      </c>
      <c r="F23" s="7">
        <f t="shared" si="16"/>
        <v>0.16133763567028447</v>
      </c>
      <c r="G23" s="7">
        <f t="shared" si="16"/>
        <v>0.16133763567028447</v>
      </c>
      <c r="H23" s="7">
        <f t="shared" si="16"/>
        <v>0.16133763567028447</v>
      </c>
      <c r="I23" s="7">
        <f t="shared" si="16"/>
        <v>0.16133763567028447</v>
      </c>
      <c r="J23" s="7">
        <f t="shared" si="16"/>
        <v>0.16133763567028447</v>
      </c>
      <c r="K23" s="7">
        <f t="shared" si="16"/>
        <v>0.16133763567028447</v>
      </c>
      <c r="L23" s="7">
        <f t="shared" si="16"/>
        <v>0.16133763567028447</v>
      </c>
      <c r="M23" s="7">
        <f t="shared" si="16"/>
        <v>0.16133763567028447</v>
      </c>
      <c r="N23" s="7">
        <f t="shared" si="16"/>
        <v>0.16133763567028447</v>
      </c>
      <c r="O23" s="7">
        <f t="shared" si="16"/>
        <v>0.16133763567028447</v>
      </c>
    </row>
    <row r="24" spans="1:15">
      <c r="C24" s="6"/>
      <c r="D24" s="6"/>
      <c r="E24" s="7">
        <f>E16-D16</f>
        <v>6.7994856897711564E-2</v>
      </c>
      <c r="F24" s="7">
        <f>E24</f>
        <v>6.7994856897711564E-2</v>
      </c>
      <c r="G24" s="9">
        <f t="shared" si="16"/>
        <v>6.7994856897711564E-2</v>
      </c>
      <c r="H24" s="7">
        <f t="shared" si="16"/>
        <v>6.7994856897711564E-2</v>
      </c>
      <c r="I24" s="7">
        <f t="shared" si="16"/>
        <v>6.7994856897711564E-2</v>
      </c>
      <c r="J24" s="7">
        <f t="shared" si="16"/>
        <v>6.7994856897711564E-2</v>
      </c>
      <c r="K24" s="7">
        <f t="shared" si="16"/>
        <v>6.7994856897711564E-2</v>
      </c>
      <c r="L24" s="7">
        <f t="shared" si="16"/>
        <v>6.7994856897711564E-2</v>
      </c>
      <c r="M24" s="7">
        <f t="shared" si="16"/>
        <v>6.7994856897711564E-2</v>
      </c>
      <c r="N24" s="7">
        <f t="shared" si="16"/>
        <v>6.7994856897711564E-2</v>
      </c>
      <c r="O24" s="7">
        <f t="shared" si="16"/>
        <v>6.7994856897711564E-2</v>
      </c>
    </row>
    <row r="25" spans="1:15">
      <c r="C25" s="6"/>
      <c r="D25" s="6"/>
      <c r="E25" s="6"/>
      <c r="F25" s="7">
        <f>F16-E16</f>
        <v>9.0321991208524244E-2</v>
      </c>
      <c r="G25" s="6">
        <f>F25</f>
        <v>9.0321991208524244E-2</v>
      </c>
      <c r="H25" s="7">
        <f t="shared" si="16"/>
        <v>9.0321991208524244E-2</v>
      </c>
      <c r="I25" s="7">
        <f t="shared" si="16"/>
        <v>9.0321991208524244E-2</v>
      </c>
      <c r="J25" s="7">
        <f t="shared" si="16"/>
        <v>9.0321991208524244E-2</v>
      </c>
      <c r="K25" s="7">
        <f t="shared" si="16"/>
        <v>9.0321991208524244E-2</v>
      </c>
      <c r="L25" s="7">
        <f>K25</f>
        <v>9.0321991208524244E-2</v>
      </c>
      <c r="M25" s="7">
        <f t="shared" si="16"/>
        <v>9.0321991208524244E-2</v>
      </c>
      <c r="N25" s="7">
        <f t="shared" si="16"/>
        <v>9.0321991208524244E-2</v>
      </c>
      <c r="O25" s="7">
        <f t="shared" si="16"/>
        <v>9.0321991208524244E-2</v>
      </c>
    </row>
    <row r="26" spans="1:15">
      <c r="C26" s="6"/>
      <c r="E26" s="6"/>
      <c r="F26" s="6"/>
      <c r="G26" s="9">
        <f>G16-F16</f>
        <v>0.11169819579454132</v>
      </c>
      <c r="H26" s="7">
        <f>G25</f>
        <v>9.0321991208524244E-2</v>
      </c>
      <c r="I26" s="7">
        <f t="shared" ref="I26:O26" si="17">H25</f>
        <v>9.0321991208524244E-2</v>
      </c>
      <c r="J26" s="7">
        <f t="shared" si="17"/>
        <v>9.0321991208524244E-2</v>
      </c>
      <c r="K26" s="7">
        <f t="shared" si="17"/>
        <v>9.0321991208524244E-2</v>
      </c>
      <c r="L26" s="7">
        <f t="shared" si="17"/>
        <v>9.0321991208524244E-2</v>
      </c>
      <c r="M26" s="7">
        <f t="shared" si="17"/>
        <v>9.0321991208524244E-2</v>
      </c>
      <c r="N26" s="7">
        <f t="shared" si="17"/>
        <v>9.0321991208524244E-2</v>
      </c>
      <c r="O26" s="7">
        <f t="shared" si="17"/>
        <v>9.0321991208524244E-2</v>
      </c>
    </row>
    <row r="27" spans="1:15">
      <c r="C27" s="6"/>
      <c r="D27" s="6"/>
      <c r="E27" s="6"/>
      <c r="F27" s="6"/>
      <c r="G27" s="6"/>
      <c r="H27" s="7">
        <f>H16-G16</f>
        <v>0.13659093657161048</v>
      </c>
      <c r="I27" s="7">
        <f>H27</f>
        <v>0.13659093657161048</v>
      </c>
      <c r="J27" s="7">
        <f t="shared" ref="J27:O31" si="18">I27</f>
        <v>0.13659093657161048</v>
      </c>
      <c r="K27" s="7">
        <f t="shared" si="18"/>
        <v>0.13659093657161048</v>
      </c>
      <c r="L27" s="7">
        <f t="shared" si="18"/>
        <v>0.13659093657161048</v>
      </c>
      <c r="M27" s="7">
        <f t="shared" si="18"/>
        <v>0.13659093657161048</v>
      </c>
      <c r="N27" s="7">
        <f t="shared" si="18"/>
        <v>0.13659093657161048</v>
      </c>
      <c r="O27" s="7">
        <f t="shared" si="18"/>
        <v>0.13659093657161048</v>
      </c>
    </row>
    <row r="28" spans="1:15">
      <c r="C28" s="6"/>
      <c r="D28" s="6"/>
      <c r="E28" s="6"/>
      <c r="F28" s="6"/>
      <c r="G28" s="6"/>
      <c r="H28" s="6"/>
      <c r="I28" s="10">
        <f>I16-H16</f>
        <v>0.16595798793450611</v>
      </c>
      <c r="J28" s="7">
        <f>I28</f>
        <v>0.16595798793450611</v>
      </c>
      <c r="K28" s="7">
        <f t="shared" si="18"/>
        <v>0.16595798793450611</v>
      </c>
      <c r="L28" s="7">
        <f t="shared" si="18"/>
        <v>0.16595798793450611</v>
      </c>
      <c r="M28" s="7">
        <f t="shared" si="18"/>
        <v>0.16595798793450611</v>
      </c>
      <c r="N28" s="7">
        <f t="shared" si="18"/>
        <v>0.16595798793450611</v>
      </c>
      <c r="O28" s="7">
        <f t="shared" si="18"/>
        <v>0.16595798793450611</v>
      </c>
    </row>
    <row r="29" spans="1:15">
      <c r="C29" s="6"/>
      <c r="D29" s="6"/>
      <c r="E29" s="6"/>
      <c r="F29" s="6"/>
      <c r="G29" s="6"/>
      <c r="H29" s="6"/>
      <c r="I29" s="6"/>
      <c r="J29" s="7">
        <f>J16-I16</f>
        <v>0.20099356316512518</v>
      </c>
      <c r="K29" s="7">
        <f>J29</f>
        <v>0.20099356316512518</v>
      </c>
      <c r="L29" s="7">
        <f t="shared" si="18"/>
        <v>0.20099356316512518</v>
      </c>
      <c r="M29" s="7">
        <f t="shared" si="18"/>
        <v>0.20099356316512518</v>
      </c>
      <c r="N29" s="7">
        <f t="shared" si="18"/>
        <v>0.20099356316512518</v>
      </c>
      <c r="O29" s="7">
        <f t="shared" si="18"/>
        <v>0.20099356316512518</v>
      </c>
    </row>
    <row r="30" spans="1:15">
      <c r="C30" s="6"/>
      <c r="D30" s="6"/>
      <c r="E30" s="6"/>
      <c r="F30" s="6"/>
      <c r="G30" s="6"/>
      <c r="H30" s="6"/>
      <c r="I30" s="6"/>
      <c r="J30" s="6"/>
      <c r="K30" s="7">
        <f>K16-J16</f>
        <v>0.22109291948163712</v>
      </c>
      <c r="L30" s="7">
        <f>K30</f>
        <v>0.22109291948163712</v>
      </c>
      <c r="M30" s="7">
        <f t="shared" si="18"/>
        <v>0.22109291948163712</v>
      </c>
      <c r="N30" s="7">
        <f t="shared" si="18"/>
        <v>0.22109291948163712</v>
      </c>
      <c r="O30" s="7">
        <f t="shared" si="18"/>
        <v>0.22109291948163712</v>
      </c>
    </row>
    <row r="31" spans="1:15">
      <c r="C31" s="6"/>
      <c r="D31" s="6"/>
      <c r="E31" s="6"/>
      <c r="F31" s="6"/>
      <c r="G31" s="6"/>
      <c r="H31" s="6"/>
      <c r="I31" s="6"/>
      <c r="J31" s="6"/>
      <c r="K31" s="6"/>
      <c r="L31" s="10">
        <f>L16-K16</f>
        <v>0.24320221142980136</v>
      </c>
      <c r="M31" s="7">
        <f>L31</f>
        <v>0.24320221142980136</v>
      </c>
      <c r="N31" s="7">
        <f t="shared" si="18"/>
        <v>0.24320221142980136</v>
      </c>
      <c r="O31" s="7">
        <f t="shared" si="18"/>
        <v>0.24320221142980136</v>
      </c>
    </row>
    <row r="32" spans="1:15">
      <c r="C32" s="6"/>
      <c r="D32" s="6"/>
      <c r="E32" s="6"/>
      <c r="F32" s="6"/>
      <c r="G32" s="6"/>
      <c r="H32" s="6"/>
      <c r="I32" s="6"/>
      <c r="J32" s="6"/>
      <c r="K32" s="6"/>
      <c r="L32" s="6"/>
      <c r="M32" s="7">
        <f>M16-L16</f>
        <v>0.26752243257278163</v>
      </c>
      <c r="N32" s="7">
        <f>M32</f>
        <v>0.26752243257278163</v>
      </c>
      <c r="O32" s="7">
        <f>N32</f>
        <v>0.26752243257278163</v>
      </c>
    </row>
    <row r="33" spans="1:17"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10">
        <f>N16-M16</f>
        <v>0.29427467583005873</v>
      </c>
      <c r="O33" s="6">
        <f>N33</f>
        <v>0.29427467583005873</v>
      </c>
    </row>
    <row r="34" spans="1:17"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7">
        <f>O16-N16</f>
        <v>0.32370214341306625</v>
      </c>
    </row>
    <row r="36" spans="1:17" ht="18.600000000000001">
      <c r="A36" s="144" t="s">
        <v>39</v>
      </c>
      <c r="B36" s="144"/>
      <c r="C36" s="144"/>
      <c r="D36" s="144"/>
      <c r="E36" s="144"/>
      <c r="F36" s="144"/>
      <c r="G36" s="144"/>
      <c r="H36" s="144"/>
      <c r="I36" s="144"/>
      <c r="J36" s="144"/>
      <c r="K36" s="144"/>
      <c r="L36" s="144"/>
      <c r="M36" s="144"/>
      <c r="N36" s="144"/>
      <c r="O36" s="144"/>
    </row>
    <row r="37" spans="1:17"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</row>
    <row r="38" spans="1:17">
      <c r="B38" s="74" t="s">
        <v>40</v>
      </c>
      <c r="C38" s="128">
        <v>1</v>
      </c>
      <c r="D38" s="128">
        <v>2</v>
      </c>
      <c r="E38" s="128">
        <v>3</v>
      </c>
      <c r="F38" s="128">
        <v>4</v>
      </c>
      <c r="G38" s="128">
        <v>5</v>
      </c>
      <c r="H38" s="128">
        <v>6</v>
      </c>
      <c r="I38" s="128">
        <v>7</v>
      </c>
      <c r="J38" s="128">
        <v>8</v>
      </c>
      <c r="K38" s="128">
        <v>9</v>
      </c>
      <c r="L38" s="128">
        <v>10</v>
      </c>
      <c r="M38" s="128">
        <v>11</v>
      </c>
      <c r="N38" s="128">
        <v>12</v>
      </c>
      <c r="O38" s="128">
        <v>13</v>
      </c>
      <c r="P38" s="128">
        <v>14</v>
      </c>
      <c r="Q38" s="128">
        <v>15</v>
      </c>
    </row>
    <row r="39" spans="1:17">
      <c r="B39" s="2" t="s">
        <v>60</v>
      </c>
      <c r="C39" s="5">
        <f>Modelisation!C71</f>
        <v>0.2</v>
      </c>
      <c r="D39" s="5">
        <f>Modelisation!D71</f>
        <v>0.21785714285714286</v>
      </c>
      <c r="E39" s="5">
        <f>Modelisation!E71</f>
        <v>0.23571428571428571</v>
      </c>
      <c r="F39" s="5">
        <f>Modelisation!F71</f>
        <v>0.25357142857142856</v>
      </c>
      <c r="G39" s="5">
        <f>Modelisation!G71</f>
        <v>0.27142857142857141</v>
      </c>
      <c r="H39" s="5">
        <f>Modelisation!H71</f>
        <v>0.28928571428571426</v>
      </c>
      <c r="I39" s="5">
        <f>Modelisation!I71</f>
        <v>0.30714285714285711</v>
      </c>
      <c r="J39" s="5">
        <f>Modelisation!J71</f>
        <v>0.32499999999999996</v>
      </c>
      <c r="K39" s="5">
        <f>Modelisation!K71</f>
        <v>0.3428571428571428</v>
      </c>
      <c r="L39" s="5">
        <f>Modelisation!L71</f>
        <v>0.36071428571428565</v>
      </c>
      <c r="M39" s="5">
        <f>Modelisation!M71</f>
        <v>0.3785714285714285</v>
      </c>
      <c r="N39" s="5">
        <f>Modelisation!N71</f>
        <v>0.39642857142857135</v>
      </c>
      <c r="O39" s="5">
        <f>Modelisation!O71</f>
        <v>0.4142857142857142</v>
      </c>
      <c r="P39" s="5">
        <f>Modelisation!P71</f>
        <v>0.43214285714285705</v>
      </c>
      <c r="Q39" s="5">
        <f>Modelisation!Q71</f>
        <v>0.45</v>
      </c>
    </row>
    <row r="40" spans="1:17"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</row>
    <row r="41" spans="1:17" ht="18.600000000000001">
      <c r="A41" s="144" t="s">
        <v>11</v>
      </c>
      <c r="B41" s="144"/>
      <c r="C41" s="144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O41" s="144"/>
    </row>
    <row r="42" spans="1:17"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</row>
    <row r="43" spans="1:17">
      <c r="B43" s="67" t="s">
        <v>47</v>
      </c>
      <c r="C43" s="67">
        <v>2020</v>
      </c>
      <c r="D43" s="67">
        <v>2024</v>
      </c>
      <c r="E43" s="67">
        <v>2025</v>
      </c>
      <c r="F43" s="67">
        <v>2026</v>
      </c>
      <c r="G43" s="67">
        <v>2027</v>
      </c>
      <c r="H43" s="67">
        <v>2028</v>
      </c>
      <c r="I43" s="67">
        <v>2029</v>
      </c>
      <c r="J43" s="67">
        <v>2030</v>
      </c>
      <c r="K43" s="67">
        <v>2031</v>
      </c>
      <c r="L43" s="67">
        <v>2032</v>
      </c>
      <c r="M43" s="67">
        <v>2033</v>
      </c>
      <c r="N43" s="67">
        <v>2034</v>
      </c>
      <c r="O43" s="67">
        <v>2035</v>
      </c>
    </row>
    <row r="44" spans="1:17">
      <c r="B44" s="2" t="s">
        <v>60</v>
      </c>
      <c r="C44" s="7">
        <f>C22*L39*365.25*24/1000</f>
        <v>4.0348469387755097</v>
      </c>
      <c r="D44" s="7">
        <f>(D22*P39+D23*C39)*365.25*24/1000</f>
        <v>5.1166836734693861</v>
      </c>
      <c r="E44" s="7">
        <f>(E22*Q39+E23*D39+E24*C39)*365.25*24/1000</f>
        <v>5.460892256582456</v>
      </c>
      <c r="F44" s="7">
        <f>(F22*Q39+F23*E39+F24*D39+F25*C39)*365.25*24/1000</f>
        <v>5.6551434971022942</v>
      </c>
      <c r="G44" s="7">
        <f>(G22*Q39+G23*F39+G24*E39+G25*D39+G26*C39)*365.25*24/1000</f>
        <v>5.9010101169118743</v>
      </c>
      <c r="H44" s="7">
        <f>(H22*Q39+H23*G39+H24*F39+H25*E39+H26*D39+H27*C39)*365.25*24/1000</f>
        <v>6.1671805453811404</v>
      </c>
      <c r="I44" s="7">
        <f>(I22*Q39+I23*H39+I24*G39+I25*F39+I26*E39+I27*D39+I28*C39)*365.25*24/1000</f>
        <v>6.5436954100012299</v>
      </c>
      <c r="J44" s="7">
        <f>(J22*Q39+J23*I39+J24*H39+J25*G39+J26*F39+J27*E39+J28*D39+J29*C39)*365.25*24/1000</f>
        <v>7.0076129972983905</v>
      </c>
      <c r="K44" s="7">
        <f>(K22*Q39+K23*J39+K24*I39+K25*H39+K26*G39+K27*F39+K28*E39+K29*D39+K30*C39)*365.25*24/1000</f>
        <v>7.5382314470665426</v>
      </c>
      <c r="L44" s="7">
        <f>(L22*Q39+L23*K39+L24*J39+L25*I39+L26*H39+L27*G39+L28*F39+L29*E39+L30*D39+L31*C39)*365.25*24/1000</f>
        <v>8.1422208455527905</v>
      </c>
      <c r="M44" s="7">
        <f>(M22*Q39+M23*L39+M24*K39+M25*J39+M26*I39+M27*H39+M28*G39+M29*F39+M30*E39+M31*D39+M32*C39)*365.25*24/1000</f>
        <v>8.8269182876289403</v>
      </c>
      <c r="N44" s="7">
        <f>(N22*Q39+N23*M39+N24*L39+N25*K39+N26*J39+N27*I39+N28*H39+N29*G39+N30*F39+N31*E39+N32*D39+N33*C39)*365.25*24/1000</f>
        <v>9.6003945776539741</v>
      </c>
      <c r="O44" s="7">
        <f>(O22*Q39+O23*N39+O24*M39+O25*L39+O26*K39+O27*J39+O28*I39+O29*H39+O30*G39+O31*F39+O32*E39+O33*D39+O34*C39)*365.25*24/1000</f>
        <v>10.4715276004228</v>
      </c>
    </row>
  </sheetData>
  <mergeCells count="6">
    <mergeCell ref="A41:O41"/>
    <mergeCell ref="A1:O1"/>
    <mergeCell ref="I2:Q2"/>
    <mergeCell ref="A13:O13"/>
    <mergeCell ref="A18:O18"/>
    <mergeCell ref="A36:O3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C15EDE-6F4A-BA4B-AE34-974178943E01}">
  <sheetPr>
    <tabColor theme="4"/>
  </sheetPr>
  <dimension ref="A2:AD39"/>
  <sheetViews>
    <sheetView zoomScale="68" zoomScaleNormal="100" workbookViewId="0">
      <selection activeCell="A2" sqref="A2:O2"/>
    </sheetView>
  </sheetViews>
  <sheetFormatPr defaultColWidth="11.5546875" defaultRowHeight="15.6"/>
  <cols>
    <col min="2" max="2" width="22.6640625" customWidth="1"/>
  </cols>
  <sheetData>
    <row r="2" spans="1:30" ht="18.600000000000001">
      <c r="A2" s="144" t="s">
        <v>61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</row>
    <row r="5" spans="1:30" ht="28.5">
      <c r="B5" s="76" t="s">
        <v>62</v>
      </c>
      <c r="C5" s="76">
        <v>2020</v>
      </c>
      <c r="D5" s="76">
        <v>2024</v>
      </c>
      <c r="E5" s="76">
        <v>2025</v>
      </c>
      <c r="F5" s="76">
        <v>2026</v>
      </c>
      <c r="G5" s="76">
        <v>2027</v>
      </c>
      <c r="H5" s="76">
        <v>2028</v>
      </c>
      <c r="I5" s="76">
        <v>2029</v>
      </c>
      <c r="J5" s="76">
        <v>2030</v>
      </c>
      <c r="K5" s="76">
        <v>2031</v>
      </c>
      <c r="L5" s="76">
        <v>2032</v>
      </c>
      <c r="M5" s="76">
        <v>2033</v>
      </c>
      <c r="N5" s="76">
        <v>2034</v>
      </c>
      <c r="O5" s="76">
        <v>2035</v>
      </c>
      <c r="P5" s="76">
        <v>2036</v>
      </c>
      <c r="Q5" s="76">
        <v>2037</v>
      </c>
      <c r="R5" s="76">
        <v>2038</v>
      </c>
      <c r="S5" s="76">
        <v>2039</v>
      </c>
      <c r="T5" s="76">
        <v>2040</v>
      </c>
      <c r="U5" s="76">
        <v>2041</v>
      </c>
      <c r="V5" s="76">
        <v>2042</v>
      </c>
      <c r="W5" s="76">
        <v>2043</v>
      </c>
      <c r="X5" s="76">
        <v>2044</v>
      </c>
      <c r="Y5" s="76">
        <v>2045</v>
      </c>
      <c r="Z5" s="76">
        <v>2046</v>
      </c>
      <c r="AA5" s="76">
        <v>2047</v>
      </c>
      <c r="AB5" s="76">
        <v>2048</v>
      </c>
      <c r="AC5" s="76">
        <v>2049</v>
      </c>
      <c r="AD5" s="76">
        <v>2050</v>
      </c>
    </row>
    <row r="6" spans="1:30">
      <c r="B6" s="4" t="s">
        <v>6</v>
      </c>
      <c r="C6" s="5">
        <f>Modelisation!G13</f>
        <v>0.4</v>
      </c>
      <c r="D6" s="5"/>
      <c r="E6" s="5"/>
      <c r="F6" s="5"/>
      <c r="G6" s="5"/>
      <c r="H6" s="5"/>
      <c r="I6" s="5"/>
      <c r="J6" s="5">
        <f>Modelisation!G6</f>
        <v>0.73</v>
      </c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>
        <f>2.46</f>
        <v>2.46</v>
      </c>
    </row>
    <row r="7" spans="1:30">
      <c r="B7" s="4" t="s">
        <v>19</v>
      </c>
      <c r="C7" s="5">
        <f>Modelisation!F13</f>
        <v>5.62</v>
      </c>
      <c r="D7" s="5"/>
      <c r="E7" s="5"/>
      <c r="F7" s="5"/>
      <c r="G7" s="5"/>
      <c r="H7" s="5"/>
      <c r="I7" s="5"/>
      <c r="J7" s="5">
        <f>Modelisation!F6</f>
        <v>13.4</v>
      </c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>
        <f>28.52</f>
        <v>28.52</v>
      </c>
    </row>
    <row r="8" spans="1:30">
      <c r="B8" s="4" t="s">
        <v>7</v>
      </c>
      <c r="C8" s="5">
        <f>Modelisation!E13+Modelisation!D13+Modelisation!C13</f>
        <v>5.57</v>
      </c>
      <c r="D8" s="5"/>
      <c r="E8" s="5"/>
      <c r="F8" s="5"/>
      <c r="G8" s="5"/>
      <c r="H8" s="5"/>
      <c r="I8" s="5"/>
      <c r="J8" s="5">
        <f>Modelisation!H6+Modelisation!D6+Modelisation!C6</f>
        <v>2.27</v>
      </c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>
        <f>7.98</f>
        <v>7.98</v>
      </c>
    </row>
    <row r="9" spans="1:30">
      <c r="B9" s="4" t="s">
        <v>63</v>
      </c>
      <c r="C9" s="13">
        <f>SUM(C6+C7+C8)</f>
        <v>11.59</v>
      </c>
      <c r="D9" s="13"/>
      <c r="E9" s="13"/>
      <c r="F9" s="13"/>
      <c r="G9" s="13"/>
      <c r="H9" s="13"/>
      <c r="I9" s="13"/>
      <c r="J9" s="13">
        <f>SUM(J6:J8)</f>
        <v>16.400000000000002</v>
      </c>
      <c r="K9" s="13"/>
      <c r="L9" s="13"/>
      <c r="M9" s="13"/>
      <c r="N9" s="13"/>
      <c r="O9" s="13">
        <f>J9+(AD9-J9)*1/4</f>
        <v>22.040000000000003</v>
      </c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>
        <f>SUM(AD6:AD8)</f>
        <v>38.96</v>
      </c>
    </row>
    <row r="35" spans="1:15" ht="18.600000000000001">
      <c r="A35" s="144" t="s">
        <v>64</v>
      </c>
      <c r="B35" s="144"/>
      <c r="C35" s="144"/>
      <c r="D35" s="144"/>
      <c r="E35" s="144"/>
      <c r="F35" s="144"/>
      <c r="G35" s="144"/>
      <c r="H35" s="144"/>
      <c r="I35" s="144"/>
      <c r="J35" s="144"/>
      <c r="K35" s="144"/>
      <c r="L35" s="144"/>
      <c r="M35" s="144"/>
      <c r="N35" s="144"/>
      <c r="O35" s="144"/>
    </row>
    <row r="37" spans="1:15">
      <c r="A37">
        <v>2020</v>
      </c>
      <c r="B37" t="s">
        <v>65</v>
      </c>
    </row>
    <row r="38" spans="1:15">
      <c r="A38">
        <v>2030</v>
      </c>
      <c r="B38" t="s">
        <v>65</v>
      </c>
    </row>
    <row r="39" spans="1:15">
      <c r="A39">
        <v>2035</v>
      </c>
      <c r="B39" t="s">
        <v>65</v>
      </c>
    </row>
  </sheetData>
  <mergeCells count="2">
    <mergeCell ref="A2:O2"/>
    <mergeCell ref="A35:O35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76C03-95D1-A84F-B82B-9311C141BF34}">
  <sheetPr>
    <tabColor theme="4"/>
  </sheetPr>
  <dimension ref="A2:R96"/>
  <sheetViews>
    <sheetView topLeftCell="C2" zoomScale="37" zoomScaleNormal="110" workbookViewId="0">
      <selection activeCell="A2" sqref="A2:O2"/>
    </sheetView>
  </sheetViews>
  <sheetFormatPr defaultColWidth="11.5546875" defaultRowHeight="15.6" outlineLevelRow="2"/>
  <cols>
    <col min="2" max="2" width="15.6640625" customWidth="1"/>
  </cols>
  <sheetData>
    <row r="2" spans="1:16" ht="18.600000000000001">
      <c r="A2" s="144" t="s">
        <v>66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</row>
    <row r="4" spans="1:16" ht="29.1">
      <c r="B4" s="75" t="s">
        <v>62</v>
      </c>
      <c r="C4" s="76">
        <v>2020</v>
      </c>
      <c r="D4" s="76">
        <v>2024</v>
      </c>
      <c r="E4" s="76">
        <v>2025</v>
      </c>
      <c r="F4" s="76">
        <v>2026</v>
      </c>
      <c r="G4" s="76">
        <v>2027</v>
      </c>
      <c r="H4" s="76">
        <v>2028</v>
      </c>
      <c r="I4" s="76">
        <v>2029</v>
      </c>
      <c r="J4" s="76">
        <v>2030</v>
      </c>
      <c r="K4" s="76">
        <v>2031</v>
      </c>
      <c r="L4" s="76">
        <v>2032</v>
      </c>
      <c r="M4" s="76">
        <v>2033</v>
      </c>
      <c r="N4" s="76">
        <v>2034</v>
      </c>
      <c r="O4" s="76">
        <v>2035</v>
      </c>
      <c r="P4" s="76" t="s">
        <v>67</v>
      </c>
    </row>
    <row r="5" spans="1:16" ht="43.5">
      <c r="B5" s="103" t="s">
        <v>68</v>
      </c>
      <c r="C5" s="13">
        <f>'Annonces sommet IA'!C26</f>
        <v>0</v>
      </c>
      <c r="D5" s="13">
        <f>'Annonces sommet IA'!D26</f>
        <v>0</v>
      </c>
      <c r="E5" s="13">
        <f>'Annonces sommet IA'!E26</f>
        <v>0</v>
      </c>
      <c r="F5" s="13">
        <f>'Annonces sommet IA'!F26</f>
        <v>0</v>
      </c>
      <c r="G5" s="13">
        <f>'Annonces sommet IA'!G26</f>
        <v>0</v>
      </c>
      <c r="H5" s="13">
        <f>'Annonces sommet IA'!H26</f>
        <v>1.1045159999999996</v>
      </c>
      <c r="I5" s="13">
        <f>'Annonces sommet IA'!I26</f>
        <v>2.5772039999999992</v>
      </c>
      <c r="J5" s="13">
        <f>'Annonces sommet IA'!J26</f>
        <v>4.4180639999999984</v>
      </c>
      <c r="K5" s="13">
        <f>'Annonces sommet IA'!K26</f>
        <v>6.6270959999999981</v>
      </c>
      <c r="L5" s="13">
        <f>'Annonces sommet IA'!L26</f>
        <v>9.2042999999999981</v>
      </c>
      <c r="M5" s="13">
        <f>'Annonces sommet IA'!M26</f>
        <v>10.676987999999998</v>
      </c>
      <c r="N5" s="13">
        <f>'Annonces sommet IA'!N26</f>
        <v>11.781503999999996</v>
      </c>
      <c r="O5" s="13">
        <f>'Annonces sommet IA'!O26</f>
        <v>12.517847999999999</v>
      </c>
      <c r="P5" s="14">
        <f>O5/O9</f>
        <v>0.27747003671794934</v>
      </c>
    </row>
    <row r="6" spans="1:16">
      <c r="B6" s="103" t="s">
        <v>6</v>
      </c>
      <c r="C6" s="13">
        <f>HPC!C33</f>
        <v>0.36666666666666675</v>
      </c>
      <c r="D6" s="13">
        <f>HPC!D33</f>
        <v>0.79966255456513635</v>
      </c>
      <c r="E6" s="13">
        <f>HPC!E33</f>
        <v>0.93781377874054739</v>
      </c>
      <c r="F6" s="13">
        <f>HPC!F33</f>
        <v>1.0881246759392809</v>
      </c>
      <c r="G6" s="13">
        <f>HPC!G33</f>
        <v>1.2508804438321097</v>
      </c>
      <c r="H6" s="13">
        <f>HPC!H33</f>
        <v>1.5732110137964141</v>
      </c>
      <c r="I6" s="13">
        <f>HPC!I33</f>
        <v>2.1075000036597404</v>
      </c>
      <c r="J6" s="13">
        <f>HPC!J33</f>
        <v>2.7371834780581477</v>
      </c>
      <c r="K6" s="13">
        <f>HPC!K33</f>
        <v>3.4672999291752848</v>
      </c>
      <c r="L6" s="13">
        <f>HPC!L33</f>
        <v>4.3028878491948062</v>
      </c>
      <c r="M6" s="13">
        <f>HPC!M33</f>
        <v>5.2489857303003591</v>
      </c>
      <c r="N6" s="13">
        <f>HPC!N33</f>
        <v>6.270539852833144</v>
      </c>
      <c r="O6" s="13">
        <f>HPC!O33</f>
        <v>7.3751995426402885</v>
      </c>
      <c r="P6" s="14">
        <f>O6/O10</f>
        <v>0.22625820165353469</v>
      </c>
    </row>
    <row r="7" spans="1:16">
      <c r="B7" s="103" t="s">
        <v>19</v>
      </c>
      <c r="C7" s="13">
        <f>Colocation!C33</f>
        <v>3.9340000000000002</v>
      </c>
      <c r="D7" s="13">
        <f>Colocation!D33</f>
        <v>5.7132806461629242</v>
      </c>
      <c r="E7" s="13">
        <f>Colocation!E33</f>
        <v>6.0392930364243931</v>
      </c>
      <c r="F7" s="13">
        <f>Colocation!F33</f>
        <v>6.3630101311468028</v>
      </c>
      <c r="G7" s="13">
        <f>Colocation!G33</f>
        <v>6.6842119206984139</v>
      </c>
      <c r="H7" s="13">
        <f>Colocation!H33</f>
        <v>7.1898847634526026</v>
      </c>
      <c r="I7" s="13">
        <f>Colocation!I33</f>
        <v>8.1408619498576211</v>
      </c>
      <c r="J7" s="13">
        <f>Colocation!J33</f>
        <v>9.1434178564919382</v>
      </c>
      <c r="K7" s="13">
        <f>Colocation!K33</f>
        <v>10.19366564652816</v>
      </c>
      <c r="L7" s="13">
        <f>Colocation!L33</f>
        <v>11.287718483138907</v>
      </c>
      <c r="M7" s="13">
        <f>Colocation!M33</f>
        <v>12.421689529496785</v>
      </c>
      <c r="N7" s="13">
        <f>Colocation!N33</f>
        <v>13.591691948774413</v>
      </c>
      <c r="O7" s="13">
        <f>Colocation!O33</f>
        <v>14.749658264144399</v>
      </c>
    </row>
    <row r="8" spans="1:16">
      <c r="B8" s="103" t="s">
        <v>69</v>
      </c>
      <c r="C8" s="13">
        <f>'Edge, entreprises'!C44</f>
        <v>4.0348469387755097</v>
      </c>
      <c r="D8" s="13">
        <f>'Edge, entreprises'!D44</f>
        <v>5.1166836734693861</v>
      </c>
      <c r="E8" s="13">
        <f>'Edge, entreprises'!E44</f>
        <v>5.460892256582456</v>
      </c>
      <c r="F8" s="13">
        <f>'Edge, entreprises'!F44</f>
        <v>5.6551434971022942</v>
      </c>
      <c r="G8" s="13">
        <f>'Edge, entreprises'!G44</f>
        <v>5.9010101169118743</v>
      </c>
      <c r="H8" s="13">
        <f>'Edge, entreprises'!H44</f>
        <v>6.1671805453811404</v>
      </c>
      <c r="I8" s="13">
        <f>'Edge, entreprises'!I44</f>
        <v>6.5436954100012299</v>
      </c>
      <c r="J8" s="13">
        <f>'Edge, entreprises'!J44</f>
        <v>7.0076129972983905</v>
      </c>
      <c r="K8" s="13">
        <f>'Edge, entreprises'!K44</f>
        <v>7.5382314470665426</v>
      </c>
      <c r="L8" s="13">
        <f>'Edge, entreprises'!L44</f>
        <v>8.1422208455527905</v>
      </c>
      <c r="M8" s="13">
        <f>'Edge, entreprises'!M44</f>
        <v>8.8269182876289403</v>
      </c>
      <c r="N8" s="13">
        <f>'Edge, entreprises'!N44</f>
        <v>9.6003945776539741</v>
      </c>
      <c r="O8" s="13">
        <f>'Edge, entreprises'!O44</f>
        <v>10.4715276004228</v>
      </c>
    </row>
    <row r="9" spans="1:16" ht="57.95">
      <c r="B9" s="104" t="s">
        <v>70</v>
      </c>
      <c r="C9" s="77">
        <f>SUM(C5:C8)</f>
        <v>8.335513605442177</v>
      </c>
      <c r="D9" s="77">
        <f t="shared" ref="D9:O9" si="0">SUM(D5:D8)</f>
        <v>11.629626874197447</v>
      </c>
      <c r="E9" s="77">
        <f t="shared" si="0"/>
        <v>12.437999071747397</v>
      </c>
      <c r="F9" s="77">
        <f t="shared" si="0"/>
        <v>13.106278304188379</v>
      </c>
      <c r="G9" s="77">
        <f t="shared" si="0"/>
        <v>13.836102481442399</v>
      </c>
      <c r="H9" s="77">
        <f t="shared" si="0"/>
        <v>16.034792322630157</v>
      </c>
      <c r="I9" s="77">
        <f t="shared" si="0"/>
        <v>19.369261363518589</v>
      </c>
      <c r="J9" s="77">
        <f t="shared" si="0"/>
        <v>23.306278331848475</v>
      </c>
      <c r="K9" s="77">
        <f t="shared" si="0"/>
        <v>27.826293022769988</v>
      </c>
      <c r="L9" s="77">
        <f t="shared" si="0"/>
        <v>32.937127177886502</v>
      </c>
      <c r="M9" s="77">
        <f t="shared" si="0"/>
        <v>37.174581547426079</v>
      </c>
      <c r="N9" s="77">
        <f t="shared" si="0"/>
        <v>41.244130379261527</v>
      </c>
      <c r="O9" s="77">
        <f t="shared" si="0"/>
        <v>45.114233407207493</v>
      </c>
    </row>
    <row r="10" spans="1:16" ht="57.95">
      <c r="B10" s="105" t="s">
        <v>71</v>
      </c>
      <c r="C10" s="13">
        <f>SUM(C6:C8)</f>
        <v>8.335513605442177</v>
      </c>
      <c r="D10" s="13">
        <f t="shared" ref="D10:O10" si="1">SUM(D6:D8)</f>
        <v>11.629626874197447</v>
      </c>
      <c r="E10" s="13">
        <f t="shared" si="1"/>
        <v>12.437999071747397</v>
      </c>
      <c r="F10" s="13">
        <f t="shared" si="1"/>
        <v>13.106278304188379</v>
      </c>
      <c r="G10" s="13">
        <f t="shared" si="1"/>
        <v>13.836102481442399</v>
      </c>
      <c r="H10" s="13">
        <f t="shared" si="1"/>
        <v>14.930276322630156</v>
      </c>
      <c r="I10" s="13">
        <f t="shared" si="1"/>
        <v>16.792057363518591</v>
      </c>
      <c r="J10" s="13">
        <f t="shared" si="1"/>
        <v>18.888214331848477</v>
      </c>
      <c r="K10" s="13">
        <f t="shared" si="1"/>
        <v>21.199197022769987</v>
      </c>
      <c r="L10" s="13">
        <f t="shared" si="1"/>
        <v>23.732827177886506</v>
      </c>
      <c r="M10" s="13">
        <f t="shared" si="1"/>
        <v>26.497593547426085</v>
      </c>
      <c r="N10" s="13">
        <f t="shared" si="1"/>
        <v>29.462626379261529</v>
      </c>
      <c r="O10" s="13">
        <f t="shared" si="1"/>
        <v>32.596385407207492</v>
      </c>
    </row>
    <row r="12" spans="1:16">
      <c r="B12" s="2" t="s">
        <v>72</v>
      </c>
      <c r="C12" s="16">
        <f>C5/C9</f>
        <v>0</v>
      </c>
      <c r="D12" s="16">
        <f t="shared" ref="D12:O12" si="2">D5/D9</f>
        <v>0</v>
      </c>
      <c r="E12" s="16">
        <f t="shared" si="2"/>
        <v>0</v>
      </c>
      <c r="F12" s="16">
        <f t="shared" si="2"/>
        <v>0</v>
      </c>
      <c r="G12" s="16">
        <f t="shared" si="2"/>
        <v>0</v>
      </c>
      <c r="H12" s="16">
        <f t="shared" si="2"/>
        <v>6.8882463693725471E-2</v>
      </c>
      <c r="I12" s="16">
        <f t="shared" si="2"/>
        <v>0.13305639030996216</v>
      </c>
      <c r="J12" s="16">
        <f t="shared" si="2"/>
        <v>0.18956540109463249</v>
      </c>
      <c r="K12" s="16">
        <f t="shared" si="2"/>
        <v>0.23815949880845103</v>
      </c>
      <c r="L12" s="16">
        <f t="shared" si="2"/>
        <v>0.27945060145317191</v>
      </c>
      <c r="M12" s="16">
        <f t="shared" si="2"/>
        <v>0.28721205607596834</v>
      </c>
      <c r="N12" s="16">
        <f t="shared" si="2"/>
        <v>0.2856528648237423</v>
      </c>
      <c r="O12" s="16">
        <f t="shared" si="2"/>
        <v>0.27747003671794934</v>
      </c>
    </row>
    <row r="34" spans="1:16" ht="18.600000000000001">
      <c r="A34" s="144" t="s">
        <v>73</v>
      </c>
      <c r="B34" s="144"/>
      <c r="C34" s="144"/>
      <c r="D34" s="144"/>
      <c r="E34" s="144"/>
      <c r="F34" s="144"/>
      <c r="G34" s="144"/>
      <c r="H34" s="144"/>
      <c r="I34" s="144"/>
      <c r="J34" s="144"/>
      <c r="K34" s="144"/>
      <c r="L34" s="144"/>
      <c r="M34" s="144"/>
      <c r="N34" s="144"/>
      <c r="O34" s="144"/>
    </row>
    <row r="36" spans="1:16" ht="29.1">
      <c r="B36" s="75" t="s">
        <v>74</v>
      </c>
      <c r="C36" s="76">
        <v>2020</v>
      </c>
      <c r="D36" s="76">
        <v>2024</v>
      </c>
      <c r="E36" s="76">
        <v>2025</v>
      </c>
      <c r="F36" s="76">
        <v>2026</v>
      </c>
      <c r="G36" s="76">
        <v>2027</v>
      </c>
      <c r="H36" s="76">
        <v>2028</v>
      </c>
      <c r="I36" s="76">
        <v>2029</v>
      </c>
      <c r="J36" s="76">
        <v>2030</v>
      </c>
      <c r="K36" s="76">
        <v>2031</v>
      </c>
      <c r="L36" s="76">
        <v>2032</v>
      </c>
      <c r="M36" s="76">
        <v>2033</v>
      </c>
      <c r="N36" s="76">
        <v>2034</v>
      </c>
      <c r="O36" s="76">
        <v>2035</v>
      </c>
    </row>
    <row r="37" spans="1:16" ht="43.5">
      <c r="B37" s="103" t="s">
        <v>68</v>
      </c>
      <c r="C37" s="13">
        <f>'Annonces sommet IA'!C4</f>
        <v>0</v>
      </c>
      <c r="D37" s="13">
        <f>'Annonces sommet IA'!D4</f>
        <v>0</v>
      </c>
      <c r="E37" s="13">
        <f>'Annonces sommet IA'!E4</f>
        <v>0</v>
      </c>
      <c r="F37" s="13">
        <f>'Annonces sommet IA'!F4</f>
        <v>0</v>
      </c>
      <c r="G37" s="13">
        <f>'Annonces sommet IA'!G4</f>
        <v>0</v>
      </c>
      <c r="H37" s="13">
        <f>'Annonces sommet IA'!H4</f>
        <v>0.41999999999999993</v>
      </c>
      <c r="I37" s="13">
        <f>'Annonces sommet IA'!I4</f>
        <v>0.83999999999999986</v>
      </c>
      <c r="J37" s="13">
        <f>'Annonces sommet IA'!J4</f>
        <v>1.2599999999999998</v>
      </c>
      <c r="K37" s="13">
        <f>'Annonces sommet IA'!K4</f>
        <v>1.6799999999999997</v>
      </c>
      <c r="L37" s="13">
        <f>'Annonces sommet IA'!L4</f>
        <v>2.0999999999999996</v>
      </c>
      <c r="M37" s="13">
        <f>'Annonces sommet IA'!M4</f>
        <v>2.0999999999999996</v>
      </c>
      <c r="N37" s="13">
        <f>'Annonces sommet IA'!N4</f>
        <v>2.0999999999999996</v>
      </c>
      <c r="O37" s="13">
        <f>'Annonces sommet IA'!O4</f>
        <v>2.0999999999999996</v>
      </c>
    </row>
    <row r="38" spans="1:16">
      <c r="B38" s="103" t="s">
        <v>6</v>
      </c>
      <c r="C38" s="13">
        <f>HPC!C4</f>
        <v>7.6051410753669488E-2</v>
      </c>
      <c r="D38" s="13">
        <f>HPC!D4</f>
        <v>0.24070115137975115</v>
      </c>
      <c r="E38" s="13">
        <f>HPC!E4</f>
        <v>0.2779887825049166</v>
      </c>
      <c r="F38" s="13">
        <f>HPC!F4</f>
        <v>0.31644765663120183</v>
      </c>
      <c r="G38" s="13">
        <f>HPC!G4</f>
        <v>0.35607777375860689</v>
      </c>
      <c r="H38" s="13">
        <f>HPC!H4</f>
        <v>0.45271787968780364</v>
      </c>
      <c r="I38" s="13">
        <f>HPC!I4</f>
        <v>0.62100851193278983</v>
      </c>
      <c r="J38" s="13">
        <f>HPC!J4</f>
        <v>0.80999110386422624</v>
      </c>
      <c r="K38" s="13">
        <f>HPC!K4</f>
        <v>1.0196656554821126</v>
      </c>
      <c r="L38" s="13">
        <f>HPC!L4</f>
        <v>1.2500321667864494</v>
      </c>
      <c r="M38" s="13">
        <f>HPC!M4</f>
        <v>1.5010906377772362</v>
      </c>
      <c r="N38" s="13">
        <f>HPC!N4</f>
        <v>1.7728410684544731</v>
      </c>
      <c r="O38" s="13">
        <f>HPC!O4</f>
        <v>2.0544834588181611</v>
      </c>
    </row>
    <row r="39" spans="1:16">
      <c r="B39" s="103" t="s">
        <v>19</v>
      </c>
      <c r="C39" s="13">
        <f>Colocation!C4</f>
        <v>1.2822267853068676</v>
      </c>
      <c r="D39" s="13">
        <f>Colocation!D4</f>
        <v>1.7475770446807857</v>
      </c>
      <c r="E39" s="13">
        <f>Colocation!E4</f>
        <v>1.7462894135556202</v>
      </c>
      <c r="F39" s="13">
        <f>Colocation!F4</f>
        <v>1.743830539429335</v>
      </c>
      <c r="G39" s="13">
        <f>Colocation!G4</f>
        <v>1.7402004223019298</v>
      </c>
      <c r="H39" s="13">
        <f>Colocation!H4</f>
        <v>1.9795603163727327</v>
      </c>
      <c r="I39" s="13">
        <f>Colocation!I4</f>
        <v>2.4472696841277464</v>
      </c>
      <c r="J39" s="13">
        <f>Colocation!J4</f>
        <v>2.8942870921963095</v>
      </c>
      <c r="K39" s="13">
        <f>Colocation!K4</f>
        <v>3.3206125405784221</v>
      </c>
      <c r="L39" s="13">
        <f>Colocation!L4</f>
        <v>3.7262460292740851</v>
      </c>
      <c r="M39" s="13">
        <f>Colocation!M4</f>
        <v>4.111187558283298</v>
      </c>
      <c r="N39" s="13">
        <f>Colocation!N4</f>
        <v>4.4754371276060603</v>
      </c>
      <c r="O39" s="13">
        <f>Colocation!O4</f>
        <v>4.7937947372423757</v>
      </c>
    </row>
    <row r="40" spans="1:16">
      <c r="B40" s="103" t="s">
        <v>69</v>
      </c>
      <c r="C40" s="13">
        <f>'Edge, entreprises'!C16</f>
        <v>1.2760340275740687</v>
      </c>
      <c r="D40" s="13">
        <f>'Edge, entreprises'!D16</f>
        <v>1.4373716632443532</v>
      </c>
      <c r="E40" s="13">
        <f>'Edge, entreprises'!E16</f>
        <v>1.5053665201420647</v>
      </c>
      <c r="F40" s="13">
        <f>'Edge, entreprises'!F16</f>
        <v>1.595688511350589</v>
      </c>
      <c r="G40" s="13">
        <f>'Edge, entreprises'!G16</f>
        <v>1.7073867071451303</v>
      </c>
      <c r="H40" s="13">
        <f>'Edge, entreprises'!H16</f>
        <v>1.8439776437167408</v>
      </c>
      <c r="I40" s="13">
        <f>'Edge, entreprises'!I16</f>
        <v>2.0099356316512469</v>
      </c>
      <c r="J40" s="13">
        <f>'Edge, entreprises'!J16</f>
        <v>2.2109291948163721</v>
      </c>
      <c r="K40" s="13">
        <f>'Edge, entreprises'!K16</f>
        <v>2.4320221142980092</v>
      </c>
      <c r="L40" s="13">
        <f>'Edge, entreprises'!L16</f>
        <v>2.6752243257278105</v>
      </c>
      <c r="M40" s="13">
        <f>'Edge, entreprises'!M16</f>
        <v>2.9427467583005922</v>
      </c>
      <c r="N40" s="13">
        <f>'Edge, entreprises'!N16</f>
        <v>3.2370214341306509</v>
      </c>
      <c r="O40" s="13">
        <f>'Edge, entreprises'!O16</f>
        <v>3.5607235775437172</v>
      </c>
    </row>
    <row r="41" spans="1:16" ht="57.95">
      <c r="B41" s="104" t="s">
        <v>75</v>
      </c>
      <c r="C41" s="13">
        <f>C37+C38+C39+C40</f>
        <v>2.6343122236346055</v>
      </c>
      <c r="D41" s="13">
        <f t="shared" ref="D41:O41" si="3">D37+D38+D39+D40</f>
        <v>3.4256498593048903</v>
      </c>
      <c r="E41" s="13">
        <f t="shared" si="3"/>
        <v>3.5296447162026015</v>
      </c>
      <c r="F41" s="13">
        <f t="shared" si="3"/>
        <v>3.6559667074111259</v>
      </c>
      <c r="G41" s="13">
        <f t="shared" si="3"/>
        <v>3.8036649032056671</v>
      </c>
      <c r="H41" s="13">
        <f t="shared" si="3"/>
        <v>4.6962558397772769</v>
      </c>
      <c r="I41" s="13">
        <f t="shared" si="3"/>
        <v>5.9182138277117833</v>
      </c>
      <c r="J41" s="13">
        <f t="shared" si="3"/>
        <v>7.1752073908769072</v>
      </c>
      <c r="K41" s="13">
        <f t="shared" si="3"/>
        <v>8.4523003103585435</v>
      </c>
      <c r="L41" s="13">
        <f t="shared" si="3"/>
        <v>9.7515025217883444</v>
      </c>
      <c r="M41" s="13">
        <f t="shared" si="3"/>
        <v>10.655024954361126</v>
      </c>
      <c r="N41" s="13">
        <f t="shared" si="3"/>
        <v>11.585299630191184</v>
      </c>
      <c r="O41" s="13">
        <f t="shared" si="3"/>
        <v>12.509001773604254</v>
      </c>
    </row>
    <row r="42" spans="1:16" ht="57.95">
      <c r="B42" s="105" t="s">
        <v>76</v>
      </c>
      <c r="C42" s="13">
        <f>C38+C39+C40</f>
        <v>2.6343122236346055</v>
      </c>
      <c r="D42" s="13">
        <f t="shared" ref="D42:O42" si="4">D38+D39+D40</f>
        <v>3.4256498593048903</v>
      </c>
      <c r="E42" s="13">
        <f t="shared" si="4"/>
        <v>3.5296447162026015</v>
      </c>
      <c r="F42" s="13">
        <f t="shared" si="4"/>
        <v>3.6559667074111259</v>
      </c>
      <c r="G42" s="13">
        <f t="shared" si="4"/>
        <v>3.8036649032056671</v>
      </c>
      <c r="H42" s="13">
        <f t="shared" si="4"/>
        <v>4.276255839777277</v>
      </c>
      <c r="I42" s="13">
        <f t="shared" si="4"/>
        <v>5.0782138277117834</v>
      </c>
      <c r="J42" s="13">
        <f t="shared" si="4"/>
        <v>5.9152073908769083</v>
      </c>
      <c r="K42" s="13">
        <f t="shared" si="4"/>
        <v>6.7723003103585437</v>
      </c>
      <c r="L42" s="13">
        <f t="shared" si="4"/>
        <v>7.6515025217883448</v>
      </c>
      <c r="M42" s="13">
        <f t="shared" si="4"/>
        <v>8.5550249543611265</v>
      </c>
      <c r="N42" s="13">
        <f t="shared" si="4"/>
        <v>9.4852996301911841</v>
      </c>
      <c r="O42" s="13">
        <f t="shared" si="4"/>
        <v>10.409001773604254</v>
      </c>
    </row>
    <row r="43" spans="1:16">
      <c r="B43" s="2" t="s">
        <v>77</v>
      </c>
      <c r="C43" s="13">
        <f>C40+C39+C38</f>
        <v>2.6343122236346059</v>
      </c>
      <c r="D43" s="13">
        <f t="shared" ref="D43:O43" si="5">D37+D41+D40</f>
        <v>4.8630215225492437</v>
      </c>
      <c r="E43" s="13">
        <f t="shared" si="5"/>
        <v>5.0350112363446664</v>
      </c>
      <c r="F43" s="13">
        <f t="shared" si="5"/>
        <v>5.2516552187617149</v>
      </c>
      <c r="G43" s="13">
        <f t="shared" si="5"/>
        <v>5.5110516103507976</v>
      </c>
      <c r="H43" s="13">
        <f t="shared" si="5"/>
        <v>6.9602334834940178</v>
      </c>
      <c r="I43" s="13">
        <f t="shared" si="5"/>
        <v>8.7681494593630305</v>
      </c>
      <c r="J43" s="13">
        <f t="shared" si="5"/>
        <v>10.646136585693281</v>
      </c>
      <c r="K43" s="13">
        <f t="shared" si="5"/>
        <v>12.564322424656552</v>
      </c>
      <c r="L43" s="13">
        <f t="shared" si="5"/>
        <v>14.526726847516155</v>
      </c>
      <c r="M43" s="13">
        <f t="shared" si="5"/>
        <v>15.697771712661718</v>
      </c>
      <c r="N43" s="13">
        <f t="shared" si="5"/>
        <v>16.922321064321835</v>
      </c>
      <c r="O43" s="13">
        <f t="shared" si="5"/>
        <v>18.169725351147971</v>
      </c>
    </row>
    <row r="45" spans="1:16">
      <c r="B45" s="1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t="s">
        <v>78</v>
      </c>
    </row>
    <row r="46" spans="1:16">
      <c r="B46" s="1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</row>
    <row r="47" spans="1:16">
      <c r="B47" s="1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</row>
    <row r="48" spans="1:16">
      <c r="B48" s="1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</row>
    <row r="49" spans="1:15">
      <c r="B49" s="1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</row>
    <row r="50" spans="1:15">
      <c r="B50" s="1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</row>
    <row r="51" spans="1:15">
      <c r="B51" s="1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</row>
    <row r="52" spans="1:15">
      <c r="B52" s="1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</row>
    <row r="53" spans="1:15">
      <c r="B53" s="1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</row>
    <row r="54" spans="1:15">
      <c r="B54" s="1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</row>
    <row r="55" spans="1:15">
      <c r="B55" s="1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</row>
    <row r="56" spans="1:15">
      <c r="B56" s="1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</row>
    <row r="57" spans="1:15">
      <c r="B57" s="1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</row>
    <row r="62" spans="1:15" ht="17.100000000000001" customHeight="1"/>
    <row r="63" spans="1:15" ht="18.600000000000001" hidden="1" outlineLevel="2">
      <c r="A63" s="144" t="s">
        <v>79</v>
      </c>
      <c r="B63" s="144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</row>
    <row r="64" spans="1:15" ht="18.600000000000001" hidden="1" outlineLevel="2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</row>
    <row r="65" spans="1:18" ht="78.599999999999994" hidden="1" outlineLevel="2">
      <c r="A65" s="20"/>
      <c r="C65" s="27" t="s">
        <v>80</v>
      </c>
      <c r="D65" s="25">
        <v>2020</v>
      </c>
      <c r="E65" s="25">
        <v>2030</v>
      </c>
      <c r="F65" s="25">
        <v>2035</v>
      </c>
      <c r="G65" s="26">
        <v>2050</v>
      </c>
      <c r="H65" s="22"/>
      <c r="I65" s="29" t="s">
        <v>81</v>
      </c>
      <c r="J65" s="21">
        <v>2020</v>
      </c>
      <c r="K65" s="21">
        <v>2030</v>
      </c>
      <c r="L65" s="21">
        <v>2035</v>
      </c>
      <c r="M65" s="17">
        <v>2050</v>
      </c>
      <c r="N65" s="22"/>
      <c r="O65" s="29" t="s">
        <v>50</v>
      </c>
      <c r="P65" s="21">
        <v>2020</v>
      </c>
      <c r="Q65" s="21">
        <v>2030</v>
      </c>
      <c r="R65" s="21">
        <v>2035</v>
      </c>
    </row>
    <row r="66" spans="1:18" ht="18.600000000000001" hidden="1" outlineLevel="2">
      <c r="A66" s="20"/>
      <c r="B66" s="22"/>
      <c r="C66" s="28" t="s">
        <v>82</v>
      </c>
      <c r="D66" s="33">
        <v>56.86</v>
      </c>
      <c r="E66" s="33">
        <v>35.69</v>
      </c>
      <c r="F66" s="33" t="e">
        <f>(#REF!+#REF!)/2</f>
        <v>#REF!</v>
      </c>
      <c r="G66" s="33">
        <v>9.35</v>
      </c>
      <c r="H66" s="22"/>
      <c r="I66" s="30" t="s">
        <v>82</v>
      </c>
      <c r="J66" s="31">
        <v>0.4</v>
      </c>
      <c r="K66" s="31">
        <v>0.4</v>
      </c>
      <c r="L66" s="31">
        <v>0.4</v>
      </c>
      <c r="M66" s="31">
        <v>0.4</v>
      </c>
      <c r="N66" s="22"/>
      <c r="O66" s="30" t="s">
        <v>83</v>
      </c>
      <c r="P66" s="4"/>
      <c r="Q66" s="4"/>
      <c r="R66" s="4"/>
    </row>
    <row r="67" spans="1:18" ht="18.600000000000001" hidden="1" outlineLevel="2">
      <c r="A67" s="20"/>
      <c r="B67" s="22"/>
      <c r="C67" s="28" t="s">
        <v>84</v>
      </c>
      <c r="D67" s="34">
        <v>373.75</v>
      </c>
      <c r="E67" s="34">
        <v>212.5</v>
      </c>
      <c r="F67" s="35">
        <v>200</v>
      </c>
      <c r="G67" s="36"/>
      <c r="H67" s="22"/>
      <c r="I67" s="30" t="s">
        <v>84</v>
      </c>
      <c r="J67" s="16">
        <v>0.25</v>
      </c>
      <c r="K67" s="16">
        <v>0.25</v>
      </c>
      <c r="L67" s="16">
        <v>0.25</v>
      </c>
      <c r="M67" s="16">
        <v>0.25</v>
      </c>
      <c r="N67" s="22"/>
      <c r="O67" s="30" t="s">
        <v>85</v>
      </c>
      <c r="P67" s="32">
        <v>13.33</v>
      </c>
      <c r="Q67" s="32">
        <v>13.33</v>
      </c>
      <c r="R67" s="32">
        <v>13.33</v>
      </c>
    </row>
    <row r="68" spans="1:18" ht="18.600000000000001" hidden="1" outlineLevel="2">
      <c r="A68" s="20"/>
      <c r="B68" s="22"/>
      <c r="C68" s="23"/>
      <c r="D68" s="37"/>
      <c r="E68" s="37"/>
      <c r="F68" s="37"/>
      <c r="G68" s="37"/>
      <c r="H68" s="22"/>
      <c r="I68" s="22"/>
      <c r="J68" s="22"/>
      <c r="K68" s="22"/>
      <c r="L68" s="22"/>
      <c r="M68" s="22"/>
      <c r="N68" s="22"/>
      <c r="O68" s="22"/>
    </row>
    <row r="69" spans="1:18" hidden="1" outlineLevel="2">
      <c r="D69" s="38"/>
      <c r="E69" s="38"/>
      <c r="F69" s="38"/>
      <c r="G69" s="38"/>
    </row>
    <row r="70" spans="1:18" hidden="1" outlineLevel="2">
      <c r="B70" s="4" t="s">
        <v>79</v>
      </c>
      <c r="C70" s="39">
        <v>2020</v>
      </c>
      <c r="D70">
        <v>2025</v>
      </c>
      <c r="E70" s="39">
        <v>2030</v>
      </c>
      <c r="F70" s="39">
        <v>2035</v>
      </c>
      <c r="G70" s="38"/>
    </row>
    <row r="71" spans="1:18" hidden="1" outlineLevel="2">
      <c r="B71" s="4" t="s">
        <v>86</v>
      </c>
      <c r="C71" s="13">
        <f>C9*D66/1000/(1-J66)</f>
        <v>0.78992883934240365</v>
      </c>
      <c r="E71" s="13">
        <f>J9*E66/1000/(1-K66)</f>
        <v>1.3863351227727869</v>
      </c>
      <c r="F71" s="13" t="e">
        <f>O9*F66/1000/(1-L66)</f>
        <v>#REF!</v>
      </c>
      <c r="G71" s="38"/>
    </row>
    <row r="72" spans="1:18" hidden="1" outlineLevel="2">
      <c r="B72" s="4" t="s">
        <v>87</v>
      </c>
      <c r="C72" s="13">
        <f>C9*D66/1000/(1-J66)</f>
        <v>0.78992883934240365</v>
      </c>
      <c r="E72" s="13">
        <f>J10*E66/1000/(1-K66)</f>
        <v>1.1235339491727869</v>
      </c>
      <c r="F72" s="13" t="e">
        <f>O10*F66/1000/(1-L66)</f>
        <v>#REF!</v>
      </c>
      <c r="G72" s="38"/>
    </row>
    <row r="73" spans="1:18" hidden="1" outlineLevel="2">
      <c r="B73" s="4" t="s">
        <v>84</v>
      </c>
      <c r="C73" s="13">
        <f>D67*P67/1000/(1-J67)</f>
        <v>6.642783333333333</v>
      </c>
      <c r="E73" s="13">
        <f>E67*Q67/1000/(1-K67)</f>
        <v>3.7768333333333337</v>
      </c>
      <c r="F73" s="13">
        <f>F67*R67/1000/(1-L67)</f>
        <v>3.5546666666666664</v>
      </c>
      <c r="G73" s="38"/>
    </row>
    <row r="74" spans="1:18" hidden="1" outlineLevel="2">
      <c r="B74" s="4" t="s">
        <v>88</v>
      </c>
      <c r="C74" s="13">
        <f>C73+C71</f>
        <v>7.4327121726757364</v>
      </c>
      <c r="E74" s="13">
        <f>E73+E71</f>
        <v>5.1631684561061206</v>
      </c>
      <c r="F74" s="13" t="e">
        <f>F73+F71</f>
        <v>#REF!</v>
      </c>
      <c r="G74" s="3">
        <f>E74/C74</f>
        <v>0.69465470156197473</v>
      </c>
      <c r="H74" t="e">
        <f>F74/C74</f>
        <v>#REF!</v>
      </c>
    </row>
    <row r="75" spans="1:18" hidden="1" outlineLevel="2">
      <c r="B75" s="15" t="s">
        <v>89</v>
      </c>
      <c r="C75" s="38">
        <f>C72+C73</f>
        <v>7.4327121726757364</v>
      </c>
      <c r="E75" s="38">
        <f>E72+E73</f>
        <v>4.9003672825061209</v>
      </c>
      <c r="F75" s="38" t="e">
        <f>F72+F73</f>
        <v>#REF!</v>
      </c>
      <c r="G75" s="3">
        <f>E75/C75</f>
        <v>0.65929732897783055</v>
      </c>
      <c r="H75" t="e">
        <f>F75/C75</f>
        <v>#REF!</v>
      </c>
    </row>
    <row r="76" spans="1:18" ht="46.5" hidden="1" outlineLevel="2">
      <c r="B76" s="40" t="s">
        <v>90</v>
      </c>
      <c r="C76" s="38">
        <f>0.7*C71+0.55*C73</f>
        <v>4.2064810208730155</v>
      </c>
      <c r="E76" s="38">
        <v>4.1847943758687602</v>
      </c>
      <c r="F76" s="38">
        <v>4.1847943758687602</v>
      </c>
    </row>
    <row r="77" spans="1:18" hidden="1" outlineLevel="2"/>
    <row r="78" spans="1:18" hidden="1" outlineLevel="2"/>
    <row r="79" spans="1:18" hidden="1" outlineLevel="2"/>
    <row r="80" spans="1:18" hidden="1" outlineLevel="2"/>
    <row r="81" spans="1:15" hidden="1" outlineLevel="2"/>
    <row r="82" spans="1:15" hidden="1" outlineLevel="2"/>
    <row r="83" spans="1:15" hidden="1" outlineLevel="2"/>
    <row r="84" spans="1:15" hidden="1" outlineLevel="2"/>
    <row r="85" spans="1:15" hidden="1" outlineLevel="2"/>
    <row r="86" spans="1:15" hidden="1" outlineLevel="2"/>
    <row r="87" spans="1:15" hidden="1" outlineLevel="2"/>
    <row r="88" spans="1:15" hidden="1" outlineLevel="2"/>
    <row r="89" spans="1:15" hidden="1" outlineLevel="2"/>
    <row r="90" spans="1:15" collapsed="1"/>
    <row r="91" spans="1:15" ht="18.600000000000001">
      <c r="A91" s="144" t="s">
        <v>64</v>
      </c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</row>
    <row r="93" spans="1:15">
      <c r="A93" t="s">
        <v>91</v>
      </c>
    </row>
    <row r="94" spans="1:15">
      <c r="A94" t="s">
        <v>92</v>
      </c>
    </row>
    <row r="95" spans="1:15">
      <c r="A95" t="s">
        <v>93</v>
      </c>
    </row>
    <row r="96" spans="1:15">
      <c r="A96" t="s">
        <v>94</v>
      </c>
    </row>
  </sheetData>
  <mergeCells count="4">
    <mergeCell ref="A2:O2"/>
    <mergeCell ref="A91:O91"/>
    <mergeCell ref="A34:O34"/>
    <mergeCell ref="A63:O63"/>
  </mergeCells>
  <pageMargins left="0.7" right="0.7" top="0.75" bottom="0.75" header="0.3" footer="0.3"/>
  <pageSetup paperSize="9" orientation="portrait" horizontalDpi="0" verticalDpi="0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EB16D-512D-3A4A-8A76-22CCF3CF755E}">
  <sheetPr>
    <tabColor theme="4"/>
  </sheetPr>
  <dimension ref="A6:O203"/>
  <sheetViews>
    <sheetView topLeftCell="C1" zoomScale="59" zoomScaleNormal="100" workbookViewId="0">
      <selection activeCell="A6" sqref="A6:O6"/>
    </sheetView>
  </sheetViews>
  <sheetFormatPr defaultColWidth="11.5546875" defaultRowHeight="15.6"/>
  <cols>
    <col min="2" max="2" width="19.109375" style="40" customWidth="1"/>
    <col min="3" max="3" width="12.109375" customWidth="1"/>
    <col min="4" max="4" width="11.5546875" customWidth="1"/>
    <col min="7" max="7" width="13.5546875" customWidth="1"/>
    <col min="8" max="8" width="13.109375" customWidth="1"/>
    <col min="9" max="9" width="13" customWidth="1"/>
    <col min="10" max="10" width="14.109375" customWidth="1"/>
    <col min="11" max="12" width="13.6640625" customWidth="1"/>
  </cols>
  <sheetData>
    <row r="6" spans="1:15" ht="18.600000000000001">
      <c r="A6" s="144" t="s">
        <v>95</v>
      </c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</row>
    <row r="8" spans="1:15" ht="29.1">
      <c r="B8" s="75" t="s">
        <v>62</v>
      </c>
      <c r="C8" s="76">
        <v>2020</v>
      </c>
      <c r="D8" s="76">
        <v>2024</v>
      </c>
      <c r="E8" s="76">
        <v>2025</v>
      </c>
      <c r="F8" s="76">
        <v>2026</v>
      </c>
      <c r="G8" s="76">
        <v>2027</v>
      </c>
      <c r="H8" s="76">
        <v>2028</v>
      </c>
      <c r="I8" s="76">
        <v>2029</v>
      </c>
      <c r="J8" s="76">
        <v>2030</v>
      </c>
      <c r="K8" s="76">
        <v>2031</v>
      </c>
      <c r="L8" s="76">
        <v>2032</v>
      </c>
      <c r="M8" s="76">
        <v>2033</v>
      </c>
      <c r="N8" s="76">
        <v>2034</v>
      </c>
      <c r="O8" s="76">
        <v>2035</v>
      </c>
    </row>
    <row r="9" spans="1:15">
      <c r="B9" s="17" t="s">
        <v>96</v>
      </c>
      <c r="C9" s="13">
        <f>C34</f>
        <v>8.335513605442177</v>
      </c>
      <c r="D9" s="4"/>
      <c r="E9" s="4"/>
      <c r="F9" s="4"/>
      <c r="G9" s="4"/>
      <c r="H9" s="4"/>
      <c r="I9" s="4"/>
      <c r="J9" s="13">
        <f>H179</f>
        <v>9.2958843520260448</v>
      </c>
      <c r="K9" s="4"/>
      <c r="L9" s="4"/>
      <c r="M9" s="4"/>
      <c r="N9" s="4"/>
      <c r="O9" s="13">
        <f>J9-(C9-J9)/2</f>
        <v>9.7760697253179778</v>
      </c>
    </row>
    <row r="26" spans="1:15" ht="18.600000000000001">
      <c r="A26" s="144" t="s">
        <v>97</v>
      </c>
      <c r="B26" s="144"/>
      <c r="C26" s="144"/>
      <c r="D26" s="144"/>
      <c r="E26" s="144"/>
      <c r="F26" s="144"/>
      <c r="G26" s="144"/>
      <c r="H26" s="144"/>
      <c r="I26" s="144"/>
      <c r="J26" s="144"/>
      <c r="K26" s="144"/>
      <c r="L26" s="144"/>
      <c r="M26" s="144"/>
      <c r="N26" s="144"/>
      <c r="O26" s="144"/>
    </row>
    <row r="28" spans="1:15" ht="29.1">
      <c r="B28" s="75" t="s">
        <v>62</v>
      </c>
      <c r="C28" s="76">
        <v>2020</v>
      </c>
      <c r="D28" s="76">
        <v>2024</v>
      </c>
      <c r="E28" s="76">
        <v>2025</v>
      </c>
      <c r="F28" s="76">
        <v>2026</v>
      </c>
      <c r="G28" s="76">
        <v>2027</v>
      </c>
      <c r="H28" s="76">
        <v>2028</v>
      </c>
      <c r="I28" s="76">
        <v>2029</v>
      </c>
      <c r="J28" s="76">
        <v>2030</v>
      </c>
      <c r="K28" s="76">
        <v>2031</v>
      </c>
      <c r="L28" s="76">
        <v>2032</v>
      </c>
      <c r="M28" s="76">
        <v>2033</v>
      </c>
      <c r="N28" s="76">
        <v>2034</v>
      </c>
      <c r="O28" s="76">
        <v>2035</v>
      </c>
    </row>
    <row r="29" spans="1:15" ht="30.95">
      <c r="B29" s="98" t="str">
        <f>'Sc nouveau tendanciel'!B5</f>
        <v>Hyperscalers (Annonces Sommet de l'IA)</v>
      </c>
      <c r="C29" s="108">
        <f>'Sc nouveau tendanciel'!C5</f>
        <v>0</v>
      </c>
      <c r="D29" s="108">
        <f>'Sc nouveau tendanciel'!D5</f>
        <v>0</v>
      </c>
      <c r="E29" s="108">
        <f>'Sc nouveau tendanciel'!E5</f>
        <v>0</v>
      </c>
      <c r="F29" s="108">
        <f>'Sc nouveau tendanciel'!F5</f>
        <v>0</v>
      </c>
      <c r="G29" s="108">
        <f>'Sc nouveau tendanciel'!G5</f>
        <v>0</v>
      </c>
      <c r="H29" s="108">
        <f>'Sc nouveau tendanciel'!H5</f>
        <v>1.1045159999999996</v>
      </c>
      <c r="I29" s="108">
        <f>'Sc nouveau tendanciel'!I5</f>
        <v>2.5772039999999992</v>
      </c>
      <c r="J29" s="108">
        <f>'Sc nouveau tendanciel'!J5</f>
        <v>4.4180639999999984</v>
      </c>
      <c r="K29" s="108">
        <f>'Sc nouveau tendanciel'!K5</f>
        <v>6.6270959999999981</v>
      </c>
      <c r="L29" s="108">
        <f>'Sc nouveau tendanciel'!L5</f>
        <v>9.2042999999999981</v>
      </c>
      <c r="M29" s="108">
        <f>'Sc nouveau tendanciel'!M5</f>
        <v>10.676987999999998</v>
      </c>
      <c r="N29" s="108">
        <f>'Sc nouveau tendanciel'!N5</f>
        <v>11.781503999999996</v>
      </c>
      <c r="O29" s="108">
        <f>'Sc nouveau tendanciel'!O5</f>
        <v>12.517847999999999</v>
      </c>
    </row>
    <row r="30" spans="1:15">
      <c r="B30" s="98" t="str">
        <f>'Sc nouveau tendanciel'!B6</f>
        <v>HPC</v>
      </c>
      <c r="C30" s="108">
        <f>'Sc nouveau tendanciel'!C6</f>
        <v>0.36666666666666675</v>
      </c>
      <c r="D30" s="108">
        <f>'Sc nouveau tendanciel'!D6</f>
        <v>0.79966255456513635</v>
      </c>
      <c r="E30" s="108">
        <f>'Sc nouveau tendanciel'!E6</f>
        <v>0.93781377874054739</v>
      </c>
      <c r="F30" s="108">
        <f>'Sc nouveau tendanciel'!F6</f>
        <v>1.0881246759392809</v>
      </c>
      <c r="G30" s="108">
        <f>'Sc nouveau tendanciel'!G6</f>
        <v>1.2508804438321097</v>
      </c>
      <c r="H30" s="108">
        <f>'Sc nouveau tendanciel'!H6</f>
        <v>1.5732110137964141</v>
      </c>
      <c r="I30" s="108">
        <f>'Sc nouveau tendanciel'!I6</f>
        <v>2.1075000036597404</v>
      </c>
      <c r="J30" s="108">
        <f>'Sc nouveau tendanciel'!J6</f>
        <v>2.7371834780581477</v>
      </c>
      <c r="K30" s="108">
        <f>'Sc nouveau tendanciel'!K6</f>
        <v>3.4672999291752848</v>
      </c>
      <c r="L30" s="108">
        <f>'Sc nouveau tendanciel'!L6</f>
        <v>4.3028878491948062</v>
      </c>
      <c r="M30" s="108">
        <f>'Sc nouveau tendanciel'!M6</f>
        <v>5.2489857303003591</v>
      </c>
      <c r="N30" s="108">
        <f>'Sc nouveau tendanciel'!N6</f>
        <v>6.270539852833144</v>
      </c>
      <c r="O30" s="108">
        <f>'Sc nouveau tendanciel'!O6</f>
        <v>7.3751995426402885</v>
      </c>
    </row>
    <row r="31" spans="1:15">
      <c r="B31" s="98" t="str">
        <f>'Sc nouveau tendanciel'!B7</f>
        <v>Colocation</v>
      </c>
      <c r="C31" s="108">
        <f>'Sc nouveau tendanciel'!C7</f>
        <v>3.9340000000000002</v>
      </c>
      <c r="D31" s="108">
        <f>'Sc nouveau tendanciel'!D7</f>
        <v>5.7132806461629242</v>
      </c>
      <c r="E31" s="108">
        <f>'Sc nouveau tendanciel'!E7</f>
        <v>6.0392930364243931</v>
      </c>
      <c r="F31" s="108">
        <f>'Sc nouveau tendanciel'!F7</f>
        <v>6.3630101311468028</v>
      </c>
      <c r="G31" s="108">
        <f>'Sc nouveau tendanciel'!G7</f>
        <v>6.6842119206984139</v>
      </c>
      <c r="H31" s="108">
        <f>'Sc nouveau tendanciel'!H7</f>
        <v>7.1898847634526026</v>
      </c>
      <c r="I31" s="108">
        <f>'Sc nouveau tendanciel'!I7</f>
        <v>8.1408619498576211</v>
      </c>
      <c r="J31" s="108">
        <f>'Sc nouveau tendanciel'!J7</f>
        <v>9.1434178564919382</v>
      </c>
      <c r="K31" s="108">
        <f>'Sc nouveau tendanciel'!K7</f>
        <v>10.19366564652816</v>
      </c>
      <c r="L31" s="108">
        <f>'Sc nouveau tendanciel'!L7</f>
        <v>11.287718483138907</v>
      </c>
      <c r="M31" s="108">
        <f>'Sc nouveau tendanciel'!M7</f>
        <v>12.421689529496785</v>
      </c>
      <c r="N31" s="108">
        <f>'Sc nouveau tendanciel'!N7</f>
        <v>13.591691948774413</v>
      </c>
      <c r="O31" s="108">
        <f>'Sc nouveau tendanciel'!O7</f>
        <v>14.749658264144399</v>
      </c>
    </row>
    <row r="32" spans="1:15">
      <c r="B32" s="98" t="str">
        <f>'Sc nouveau tendanciel'!B8</f>
        <v>Edge, entreprise</v>
      </c>
      <c r="C32" s="108">
        <f>'Sc nouveau tendanciel'!C8</f>
        <v>4.0348469387755097</v>
      </c>
      <c r="D32" s="108">
        <f>'Sc nouveau tendanciel'!D8</f>
        <v>5.1166836734693861</v>
      </c>
      <c r="E32" s="108">
        <f>'Sc nouveau tendanciel'!E8</f>
        <v>5.460892256582456</v>
      </c>
      <c r="F32" s="108">
        <f>'Sc nouveau tendanciel'!F8</f>
        <v>5.6551434971022942</v>
      </c>
      <c r="G32" s="108">
        <f>'Sc nouveau tendanciel'!G8</f>
        <v>5.9010101169118743</v>
      </c>
      <c r="H32" s="108">
        <f>'Sc nouveau tendanciel'!H8</f>
        <v>6.1671805453811404</v>
      </c>
      <c r="I32" s="108">
        <f>'Sc nouveau tendanciel'!I8</f>
        <v>6.5436954100012299</v>
      </c>
      <c r="J32" s="108">
        <f>'Sc nouveau tendanciel'!J8</f>
        <v>7.0076129972983905</v>
      </c>
      <c r="K32" s="108">
        <f>'Sc nouveau tendanciel'!K8</f>
        <v>7.5382314470665426</v>
      </c>
      <c r="L32" s="108">
        <f>'Sc nouveau tendanciel'!L8</f>
        <v>8.1422208455527905</v>
      </c>
      <c r="M32" s="108">
        <f>'Sc nouveau tendanciel'!M8</f>
        <v>8.8269182876289403</v>
      </c>
      <c r="N32" s="108">
        <f>'Sc nouveau tendanciel'!N8</f>
        <v>9.6003945776539741</v>
      </c>
      <c r="O32" s="108">
        <f>'Sc nouveau tendanciel'!O8</f>
        <v>10.4715276004228</v>
      </c>
    </row>
    <row r="33" spans="2:15" ht="62.1">
      <c r="B33" s="98" t="str">
        <f>'Sc nouveau tendanciel'!B9</f>
        <v>Scénario "nouveau tendanciel" - avec annonces Sommet de l'IA</v>
      </c>
      <c r="C33" s="108">
        <f>'Sc nouveau tendanciel'!C9</f>
        <v>8.335513605442177</v>
      </c>
      <c r="D33" s="108">
        <f>'Sc nouveau tendanciel'!D9</f>
        <v>11.629626874197447</v>
      </c>
      <c r="E33" s="108">
        <f>'Sc nouveau tendanciel'!E9</f>
        <v>12.437999071747397</v>
      </c>
      <c r="F33" s="108">
        <f>'Sc nouveau tendanciel'!F9</f>
        <v>13.106278304188379</v>
      </c>
      <c r="G33" s="108">
        <f>'Sc nouveau tendanciel'!G9</f>
        <v>13.836102481442399</v>
      </c>
      <c r="H33" s="108">
        <f>'Sc nouveau tendanciel'!H9</f>
        <v>16.034792322630157</v>
      </c>
      <c r="I33" s="108">
        <f>'Sc nouveau tendanciel'!I9</f>
        <v>19.369261363518589</v>
      </c>
      <c r="J33" s="108">
        <f>'Sc nouveau tendanciel'!J9</f>
        <v>23.306278331848475</v>
      </c>
      <c r="K33" s="108">
        <f>'Sc nouveau tendanciel'!K9</f>
        <v>27.826293022769988</v>
      </c>
      <c r="L33" s="108">
        <f>'Sc nouveau tendanciel'!L9</f>
        <v>32.937127177886502</v>
      </c>
      <c r="M33" s="108">
        <f>'Sc nouveau tendanciel'!M9</f>
        <v>37.174581547426079</v>
      </c>
      <c r="N33" s="108">
        <f>'Sc nouveau tendanciel'!N9</f>
        <v>41.244130379261527</v>
      </c>
      <c r="O33" s="108">
        <f>'Sc nouveau tendanciel'!O9</f>
        <v>45.114233407207493</v>
      </c>
    </row>
    <row r="34" spans="2:15" ht="62.1">
      <c r="B34" s="98" t="str">
        <f>'Sc nouveau tendanciel'!B10</f>
        <v>Scénario "nouveau tendanciel" - sans annonces Sommet de l'IA</v>
      </c>
      <c r="C34" s="108">
        <f>'Sc nouveau tendanciel'!C10</f>
        <v>8.335513605442177</v>
      </c>
      <c r="D34" s="108">
        <f>'Sc nouveau tendanciel'!D10</f>
        <v>11.629626874197447</v>
      </c>
      <c r="E34" s="108">
        <f>'Sc nouveau tendanciel'!E10</f>
        <v>12.437999071747397</v>
      </c>
      <c r="F34" s="108">
        <f>'Sc nouveau tendanciel'!F10</f>
        <v>13.106278304188379</v>
      </c>
      <c r="G34" s="108">
        <f>'Sc nouveau tendanciel'!G10</f>
        <v>13.836102481442399</v>
      </c>
      <c r="H34" s="108">
        <f>'Sc nouveau tendanciel'!H10</f>
        <v>14.930276322630156</v>
      </c>
      <c r="I34" s="108">
        <f>'Sc nouveau tendanciel'!I10</f>
        <v>16.792057363518591</v>
      </c>
      <c r="J34" s="108">
        <f>'Sc nouveau tendanciel'!J10</f>
        <v>18.888214331848477</v>
      </c>
      <c r="K34" s="108">
        <f>'Sc nouveau tendanciel'!K10</f>
        <v>21.199197022769987</v>
      </c>
      <c r="L34" s="108">
        <f>'Sc nouveau tendanciel'!L10</f>
        <v>23.732827177886506</v>
      </c>
      <c r="M34" s="108">
        <f>'Sc nouveau tendanciel'!M10</f>
        <v>26.497593547426085</v>
      </c>
      <c r="N34" s="108">
        <f>'Sc nouveau tendanciel'!N10</f>
        <v>29.462626379261529</v>
      </c>
      <c r="O34" s="108">
        <f>'Sc nouveau tendanciel'!O10</f>
        <v>32.596385407207492</v>
      </c>
    </row>
    <row r="58" spans="1:15" ht="18.600000000000001">
      <c r="A58" s="144" t="s">
        <v>64</v>
      </c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</row>
    <row r="60" spans="1:15">
      <c r="A60">
        <v>2024</v>
      </c>
      <c r="B60" s="40" t="s">
        <v>98</v>
      </c>
    </row>
    <row r="61" spans="1:15">
      <c r="A61">
        <v>2025</v>
      </c>
      <c r="B61" s="40" t="s">
        <v>98</v>
      </c>
    </row>
    <row r="62" spans="1:15" ht="62.1">
      <c r="A62">
        <v>2030</v>
      </c>
      <c r="B62" s="40" t="s">
        <v>99</v>
      </c>
    </row>
    <row r="65" spans="1:15" ht="18.600000000000001">
      <c r="A65" s="144" t="s">
        <v>79</v>
      </c>
      <c r="B65" s="144"/>
      <c r="C65" s="144"/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4"/>
    </row>
    <row r="67" spans="1:15">
      <c r="A67" s="151" t="s">
        <v>100</v>
      </c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  <c r="M67" s="151"/>
    </row>
    <row r="69" spans="1:15">
      <c r="A69" s="147" t="s">
        <v>101</v>
      </c>
      <c r="B69" s="147"/>
      <c r="C69" s="147"/>
      <c r="D69" s="147"/>
      <c r="E69" s="147"/>
      <c r="F69" s="147"/>
      <c r="G69" s="147"/>
      <c r="H69" s="147"/>
      <c r="I69" s="147"/>
      <c r="J69" s="147"/>
    </row>
    <row r="71" spans="1:15" ht="30.95">
      <c r="B71" s="92" t="s">
        <v>80</v>
      </c>
      <c r="C71" s="84">
        <v>2020</v>
      </c>
      <c r="D71" s="84">
        <v>2023</v>
      </c>
      <c r="E71" s="84">
        <v>2030</v>
      </c>
      <c r="F71" s="84">
        <v>2035</v>
      </c>
      <c r="G71" s="80">
        <v>2050</v>
      </c>
    </row>
    <row r="72" spans="1:15">
      <c r="B72" s="27" t="s">
        <v>82</v>
      </c>
      <c r="C72" s="33">
        <f>C98</f>
        <v>56.86</v>
      </c>
      <c r="D72" s="4"/>
      <c r="E72" s="33">
        <f>D98</f>
        <v>35.69</v>
      </c>
      <c r="F72" s="33">
        <f>(E98+D98)/2</f>
        <v>24.544999999999998</v>
      </c>
      <c r="G72" s="33">
        <f>F98</f>
        <v>9.35</v>
      </c>
    </row>
    <row r="73" spans="1:15">
      <c r="B73" s="27" t="s">
        <v>84</v>
      </c>
      <c r="C73" s="123">
        <v>528</v>
      </c>
      <c r="D73" s="4">
        <v>458</v>
      </c>
      <c r="E73" s="123">
        <f>D76</f>
        <v>312</v>
      </c>
      <c r="F73" s="124">
        <f>E76</f>
        <v>219</v>
      </c>
      <c r="G73" s="123">
        <f>G76</f>
        <v>111</v>
      </c>
    </row>
    <row r="75" spans="1:15">
      <c r="A75" t="s">
        <v>102</v>
      </c>
      <c r="B75" s="82" t="s">
        <v>103</v>
      </c>
      <c r="C75" s="67">
        <v>2020</v>
      </c>
      <c r="D75" s="67">
        <v>2030</v>
      </c>
      <c r="E75" s="67">
        <v>2035</v>
      </c>
      <c r="F75" s="67">
        <v>2040</v>
      </c>
      <c r="G75" s="67">
        <v>2050</v>
      </c>
    </row>
    <row r="76" spans="1:15">
      <c r="B76" s="17" t="s">
        <v>104</v>
      </c>
      <c r="C76" s="4">
        <v>528</v>
      </c>
      <c r="D76" s="4">
        <v>312</v>
      </c>
      <c r="E76" s="4">
        <v>219</v>
      </c>
      <c r="F76" s="4">
        <v>164</v>
      </c>
      <c r="G76" s="4">
        <v>111</v>
      </c>
    </row>
    <row r="78" spans="1:15" s="90" customFormat="1">
      <c r="B78" s="88" t="s">
        <v>105</v>
      </c>
      <c r="C78" s="88" t="s">
        <v>106</v>
      </c>
      <c r="D78" s="88" t="s">
        <v>107</v>
      </c>
      <c r="E78" s="88" t="s">
        <v>108</v>
      </c>
      <c r="F78" s="88" t="s">
        <v>109</v>
      </c>
      <c r="G78" s="88" t="s">
        <v>110</v>
      </c>
      <c r="H78" s="88" t="s">
        <v>111</v>
      </c>
    </row>
    <row r="79" spans="1:15">
      <c r="B79" s="17">
        <v>72</v>
      </c>
      <c r="C79" s="17">
        <v>62</v>
      </c>
      <c r="D79" s="17">
        <v>58</v>
      </c>
      <c r="E79" s="17">
        <v>50</v>
      </c>
      <c r="F79" s="17">
        <v>51</v>
      </c>
      <c r="G79" s="17" t="s">
        <v>112</v>
      </c>
      <c r="H79" s="17" t="s">
        <v>113</v>
      </c>
    </row>
    <row r="80" spans="1:15">
      <c r="B80" s="17">
        <v>6</v>
      </c>
      <c r="C80" s="17">
        <v>12</v>
      </c>
      <c r="D80" s="17">
        <v>12</v>
      </c>
      <c r="E80" s="17">
        <v>13</v>
      </c>
      <c r="F80" s="17">
        <v>13</v>
      </c>
      <c r="G80" s="17" t="s">
        <v>114</v>
      </c>
      <c r="H80" s="17" t="s">
        <v>113</v>
      </c>
    </row>
    <row r="81" spans="2:8">
      <c r="B81" s="17">
        <v>0</v>
      </c>
      <c r="C81" s="17">
        <v>3</v>
      </c>
      <c r="D81" s="17">
        <v>8</v>
      </c>
      <c r="E81" s="17">
        <v>12</v>
      </c>
      <c r="F81" s="17">
        <v>13</v>
      </c>
      <c r="G81" s="17" t="s">
        <v>115</v>
      </c>
      <c r="H81" s="17" t="s">
        <v>113</v>
      </c>
    </row>
    <row r="82" spans="2:8">
      <c r="B82" s="17">
        <v>2</v>
      </c>
      <c r="C82" s="17">
        <v>7</v>
      </c>
      <c r="D82" s="17">
        <v>10</v>
      </c>
      <c r="E82" s="17">
        <v>13</v>
      </c>
      <c r="F82" s="17">
        <v>13</v>
      </c>
      <c r="G82" s="17" t="s">
        <v>116</v>
      </c>
      <c r="H82" s="17" t="s">
        <v>113</v>
      </c>
    </row>
    <row r="83" spans="2:8" ht="30.95">
      <c r="B83" s="17">
        <v>0</v>
      </c>
      <c r="C83" s="17">
        <v>0</v>
      </c>
      <c r="D83" s="17">
        <v>0</v>
      </c>
      <c r="E83" s="17">
        <v>0</v>
      </c>
      <c r="F83" s="17">
        <v>0</v>
      </c>
      <c r="G83" s="17" t="s">
        <v>117</v>
      </c>
      <c r="H83" s="17" t="s">
        <v>113</v>
      </c>
    </row>
    <row r="84" spans="2:8">
      <c r="B84" s="17">
        <v>10</v>
      </c>
      <c r="C84" s="17">
        <v>10</v>
      </c>
      <c r="D84" s="17">
        <v>10</v>
      </c>
      <c r="E84" s="17">
        <v>10</v>
      </c>
      <c r="F84" s="17">
        <v>9</v>
      </c>
      <c r="G84" s="17" t="s">
        <v>118</v>
      </c>
      <c r="H84" s="17" t="s">
        <v>113</v>
      </c>
    </row>
    <row r="85" spans="2:8">
      <c r="B85" s="17">
        <v>2</v>
      </c>
      <c r="C85" s="17">
        <v>2</v>
      </c>
      <c r="D85" s="17">
        <v>2</v>
      </c>
      <c r="E85" s="17">
        <v>2</v>
      </c>
      <c r="F85" s="17">
        <v>2</v>
      </c>
      <c r="G85" s="17" t="s">
        <v>119</v>
      </c>
      <c r="H85" s="17" t="s">
        <v>113</v>
      </c>
    </row>
    <row r="86" spans="2:8">
      <c r="B86" s="17">
        <v>8</v>
      </c>
      <c r="C86" s="17">
        <v>4</v>
      </c>
      <c r="D86" s="17">
        <v>0</v>
      </c>
      <c r="E86" s="17">
        <v>0</v>
      </c>
      <c r="F86" s="17">
        <v>0</v>
      </c>
      <c r="G86" s="17" t="s">
        <v>120</v>
      </c>
      <c r="H86" s="17" t="s">
        <v>113</v>
      </c>
    </row>
    <row r="87" spans="2:8">
      <c r="B87" s="17">
        <f>SUM(B79:B86)</f>
        <v>100</v>
      </c>
      <c r="C87" s="17">
        <f>SUM(C79:C86)</f>
        <v>100</v>
      </c>
      <c r="D87" s="17">
        <f>SUM(D79:D86)</f>
        <v>100</v>
      </c>
      <c r="E87" s="17">
        <f>SUM(E79:E86)</f>
        <v>100</v>
      </c>
      <c r="F87" s="17">
        <f>SUM(F79:F86)</f>
        <v>101</v>
      </c>
      <c r="G87" s="17"/>
      <c r="H87" s="17"/>
    </row>
    <row r="89" spans="2:8" ht="46.5">
      <c r="B89" s="82" t="s">
        <v>121</v>
      </c>
      <c r="C89" s="88" t="s">
        <v>122</v>
      </c>
      <c r="D89" s="88" t="s">
        <v>123</v>
      </c>
      <c r="E89" s="88" t="s">
        <v>124</v>
      </c>
      <c r="F89" s="88" t="s">
        <v>125</v>
      </c>
    </row>
    <row r="90" spans="2:8">
      <c r="B90" s="17" t="s">
        <v>112</v>
      </c>
      <c r="C90" s="17">
        <v>7</v>
      </c>
      <c r="D90" s="93" t="s">
        <v>126</v>
      </c>
      <c r="E90" s="93" t="s">
        <v>126</v>
      </c>
      <c r="F90" s="17">
        <v>6</v>
      </c>
    </row>
    <row r="91" spans="2:8">
      <c r="B91" s="17" t="s">
        <v>114</v>
      </c>
      <c r="C91" s="17">
        <v>16</v>
      </c>
      <c r="D91" s="93" t="s">
        <v>126</v>
      </c>
      <c r="E91" s="93" t="s">
        <v>126</v>
      </c>
      <c r="F91" s="17">
        <v>13</v>
      </c>
    </row>
    <row r="92" spans="2:8">
      <c r="B92" s="17" t="s">
        <v>115</v>
      </c>
      <c r="C92" s="17">
        <v>14</v>
      </c>
      <c r="D92" s="93" t="s">
        <v>126</v>
      </c>
      <c r="E92" s="93" t="s">
        <v>126</v>
      </c>
      <c r="F92" s="17">
        <v>7</v>
      </c>
    </row>
    <row r="93" spans="2:8">
      <c r="B93" s="17" t="s">
        <v>116</v>
      </c>
      <c r="C93" s="17">
        <v>43</v>
      </c>
      <c r="D93" s="93" t="s">
        <v>126</v>
      </c>
      <c r="E93" s="93" t="s">
        <v>126</v>
      </c>
      <c r="F93" s="17">
        <v>14</v>
      </c>
    </row>
    <row r="94" spans="2:8">
      <c r="B94" s="17" t="s">
        <v>117</v>
      </c>
      <c r="C94" s="17"/>
      <c r="D94" s="93" t="s">
        <v>126</v>
      </c>
      <c r="E94" s="93" t="s">
        <v>126</v>
      </c>
      <c r="F94" s="17"/>
    </row>
    <row r="95" spans="2:8">
      <c r="B95" s="17" t="s">
        <v>118</v>
      </c>
      <c r="C95" s="17">
        <v>6</v>
      </c>
      <c r="D95" s="93" t="s">
        <v>126</v>
      </c>
      <c r="E95" s="93" t="s">
        <v>126</v>
      </c>
      <c r="F95" s="17">
        <v>6</v>
      </c>
    </row>
    <row r="96" spans="2:8">
      <c r="B96" s="17" t="s">
        <v>119</v>
      </c>
      <c r="C96" s="17">
        <v>70</v>
      </c>
      <c r="D96" s="93" t="s">
        <v>126</v>
      </c>
      <c r="E96" s="93" t="s">
        <v>126</v>
      </c>
      <c r="F96" s="17">
        <v>70</v>
      </c>
    </row>
    <row r="97" spans="1:14">
      <c r="B97" s="17" t="s">
        <v>120</v>
      </c>
      <c r="C97" s="17">
        <v>600</v>
      </c>
      <c r="D97" s="93" t="s">
        <v>126</v>
      </c>
      <c r="E97" s="93" t="s">
        <v>126</v>
      </c>
      <c r="F97" s="17">
        <v>600</v>
      </c>
    </row>
    <row r="98" spans="1:14">
      <c r="B98" s="17"/>
      <c r="C98" s="18">
        <f>(B79*C90+B80*C91+B81*C92+B82*C93+B84*C95+B85*C96+B86*C97)/100</f>
        <v>56.86</v>
      </c>
      <c r="D98" s="18">
        <f>(C79*C90+C80*C91+C81*C92+C82*C93+C84*C95+C85*C96+C86*C97)/100</f>
        <v>35.69</v>
      </c>
      <c r="E98" s="18">
        <f>(D79*C90+D80*C91+D81*C92+D82*C93+D84*C95+D85*C96+D86*C97)/100</f>
        <v>13.4</v>
      </c>
      <c r="F98" s="18">
        <f>(E79*F90+E80*F91+E81*F92+E82*F93+E84*F95+E85*F96+E86*F97)/100</f>
        <v>9.35</v>
      </c>
    </row>
    <row r="100" spans="1:14">
      <c r="A100" s="147" t="s">
        <v>127</v>
      </c>
      <c r="B100" s="147"/>
      <c r="C100" s="147"/>
      <c r="D100" s="147"/>
      <c r="E100" s="147"/>
      <c r="F100" s="147"/>
      <c r="G100" s="147"/>
      <c r="H100" s="147"/>
      <c r="I100" s="147"/>
      <c r="J100" s="147"/>
    </row>
    <row r="102" spans="1:14" ht="46.5">
      <c r="B102" s="86" t="s">
        <v>128</v>
      </c>
      <c r="C102" s="87">
        <v>2020</v>
      </c>
      <c r="D102" s="87">
        <v>2030</v>
      </c>
      <c r="E102" s="87">
        <v>2035</v>
      </c>
      <c r="F102" s="88">
        <v>2050</v>
      </c>
    </row>
    <row r="103" spans="1:14">
      <c r="B103" s="29" t="s">
        <v>82</v>
      </c>
      <c r="C103" s="78">
        <v>0.4</v>
      </c>
      <c r="D103" s="78">
        <v>0.4</v>
      </c>
      <c r="E103" s="78">
        <v>0.4</v>
      </c>
      <c r="F103" s="78">
        <v>0.4</v>
      </c>
      <c r="G103" s="22"/>
      <c r="M103" s="22"/>
    </row>
    <row r="104" spans="1:14">
      <c r="A104" s="22"/>
      <c r="B104" s="29" t="s">
        <v>84</v>
      </c>
      <c r="C104" s="118">
        <v>0.25</v>
      </c>
      <c r="D104" s="79">
        <v>0.25</v>
      </c>
      <c r="E104" s="79">
        <v>0.25</v>
      </c>
      <c r="F104" s="79">
        <v>0.25</v>
      </c>
      <c r="G104" s="22"/>
      <c r="M104" s="22"/>
    </row>
    <row r="105" spans="1:14">
      <c r="A105" s="22"/>
      <c r="G105" s="22"/>
      <c r="M105" s="22"/>
    </row>
    <row r="106" spans="1:14">
      <c r="A106" s="147" t="s">
        <v>50</v>
      </c>
      <c r="B106" s="147"/>
      <c r="C106" s="147"/>
      <c r="D106" s="147"/>
      <c r="E106" s="147"/>
      <c r="F106" s="147"/>
      <c r="G106" s="147"/>
      <c r="H106" s="147"/>
      <c r="I106" s="147"/>
      <c r="J106" s="147"/>
      <c r="M106" s="22"/>
    </row>
    <row r="107" spans="1:14">
      <c r="A107" s="22"/>
      <c r="B107" s="24"/>
      <c r="C107" s="37"/>
      <c r="D107" s="37"/>
      <c r="E107" s="37"/>
      <c r="F107" s="37"/>
      <c r="G107" s="22"/>
      <c r="H107" s="22"/>
      <c r="I107" s="22"/>
      <c r="J107" s="22"/>
      <c r="K107" s="22"/>
      <c r="L107" s="22"/>
      <c r="M107" s="22"/>
      <c r="N107" s="22"/>
    </row>
    <row r="108" spans="1:14">
      <c r="A108" s="22"/>
      <c r="B108" s="81" t="s">
        <v>129</v>
      </c>
      <c r="C108" s="85">
        <v>2020</v>
      </c>
      <c r="D108" s="83">
        <v>2025</v>
      </c>
      <c r="E108" s="85">
        <v>2030</v>
      </c>
      <c r="F108" s="85">
        <v>2035</v>
      </c>
    </row>
    <row r="109" spans="1:14" ht="30.95">
      <c r="A109" s="22"/>
      <c r="B109" s="27" t="s">
        <v>130</v>
      </c>
      <c r="C109" s="13">
        <f>C34</f>
        <v>8.335513605442177</v>
      </c>
      <c r="E109" s="13">
        <f>'Sc nouveau tendanciel'!$J$9</f>
        <v>23.306278331848475</v>
      </c>
      <c r="F109" s="13">
        <f>'Sc nouveau tendanciel'!$O$9</f>
        <v>45.114233407207493</v>
      </c>
    </row>
    <row r="110" spans="1:14" ht="30.95">
      <c r="A110" s="22"/>
      <c r="B110" s="27" t="s">
        <v>131</v>
      </c>
      <c r="C110" s="13">
        <f>'Sc nouveau tendanciel'!$C$10</f>
        <v>8.335513605442177</v>
      </c>
      <c r="E110" s="13">
        <f>'Sc nouveau tendanciel'!$J$10</f>
        <v>18.888214331848477</v>
      </c>
      <c r="F110" s="13">
        <f>'Sc nouveau tendanciel'!$O$10</f>
        <v>32.596385407207492</v>
      </c>
    </row>
    <row r="111" spans="1:14" ht="62.1">
      <c r="A111" s="22"/>
      <c r="B111" s="27" t="s">
        <v>132</v>
      </c>
      <c r="C111" s="13">
        <f>C109+C112</f>
        <v>21.665513605442179</v>
      </c>
      <c r="E111" s="13">
        <f>E109+E112</f>
        <v>53.511963183608003</v>
      </c>
      <c r="F111" s="13">
        <f>F109+F112</f>
        <v>97.241773238033105</v>
      </c>
    </row>
    <row r="112" spans="1:14">
      <c r="A112" s="22"/>
      <c r="B112" s="27" t="s">
        <v>84</v>
      </c>
      <c r="C112" s="89">
        <v>13.33</v>
      </c>
      <c r="E112" s="89">
        <f>C112*E110/C110</f>
        <v>30.205684851759525</v>
      </c>
      <c r="F112" s="89">
        <f>C112*F110/C110</f>
        <v>52.127539830825611</v>
      </c>
    </row>
    <row r="113" spans="1:10">
      <c r="A113" s="22"/>
      <c r="B113" s="91"/>
      <c r="D113" s="38"/>
      <c r="E113" s="38"/>
      <c r="F113" s="38"/>
    </row>
    <row r="114" spans="1:10" ht="36.950000000000003" customHeight="1">
      <c r="A114" s="152" t="s">
        <v>133</v>
      </c>
      <c r="B114" s="152"/>
      <c r="C114" s="152"/>
      <c r="D114" s="152"/>
      <c r="E114" s="152"/>
      <c r="F114" s="152"/>
      <c r="G114" s="152"/>
      <c r="H114" s="152"/>
      <c r="I114" s="152"/>
      <c r="J114" s="152"/>
    </row>
    <row r="115" spans="1:10">
      <c r="A115" s="22"/>
      <c r="B115" s="91"/>
      <c r="D115" s="38"/>
      <c r="E115" s="38"/>
      <c r="F115" s="38"/>
    </row>
    <row r="116" spans="1:10">
      <c r="A116" s="22"/>
      <c r="B116" s="82" t="s">
        <v>134</v>
      </c>
      <c r="C116" s="96">
        <v>2020</v>
      </c>
      <c r="D116" s="96">
        <v>2030</v>
      </c>
      <c r="E116" s="96">
        <v>2050</v>
      </c>
      <c r="F116" s="38"/>
    </row>
    <row r="117" spans="1:10">
      <c r="A117" s="22"/>
      <c r="B117" s="101" t="s">
        <v>135</v>
      </c>
      <c r="C117" s="4">
        <f>(17.24-14.5)/20</f>
        <v>0.13699999999999993</v>
      </c>
      <c r="D117" s="7">
        <v>0.16800000000000001</v>
      </c>
      <c r="E117" s="6">
        <v>0.221</v>
      </c>
      <c r="F117" s="38"/>
    </row>
    <row r="118" spans="1:10">
      <c r="A118" s="22"/>
      <c r="B118" s="91"/>
      <c r="D118" s="38"/>
      <c r="E118" s="38"/>
      <c r="F118" s="38"/>
    </row>
    <row r="119" spans="1:10">
      <c r="A119" s="22"/>
      <c r="B119" s="82" t="s">
        <v>136</v>
      </c>
      <c r="C119" s="96">
        <v>2020</v>
      </c>
      <c r="D119" s="96">
        <v>2030</v>
      </c>
      <c r="E119" s="96">
        <v>2050</v>
      </c>
      <c r="F119" s="38"/>
    </row>
    <row r="120" spans="1:10">
      <c r="A120" s="22"/>
      <c r="B120" s="101" t="s">
        <v>137</v>
      </c>
      <c r="C120" s="4">
        <v>17.2</v>
      </c>
      <c r="D120" s="13">
        <v>25</v>
      </c>
      <c r="E120" s="38"/>
      <c r="F120" s="38"/>
    </row>
    <row r="121" spans="1:10" ht="30.95">
      <c r="A121" s="22"/>
      <c r="B121" s="101" t="s">
        <v>138</v>
      </c>
      <c r="C121" s="101">
        <v>17.2</v>
      </c>
      <c r="D121" s="101">
        <v>14.4</v>
      </c>
      <c r="E121" s="38"/>
      <c r="F121" s="38"/>
    </row>
    <row r="122" spans="1:10" ht="46.5">
      <c r="A122" s="22"/>
      <c r="B122" s="101" t="s">
        <v>139</v>
      </c>
      <c r="C122" s="101">
        <v>17.2</v>
      </c>
      <c r="D122" s="101">
        <v>20.7</v>
      </c>
      <c r="E122" s="38"/>
      <c r="F122" s="38"/>
    </row>
    <row r="123" spans="1:10" ht="46.5">
      <c r="A123" s="22"/>
      <c r="B123" s="101" t="s">
        <v>140</v>
      </c>
      <c r="C123" s="101">
        <v>17.2</v>
      </c>
      <c r="D123" s="101">
        <v>18.100000000000001</v>
      </c>
      <c r="E123" s="38"/>
      <c r="F123" s="38"/>
    </row>
    <row r="124" spans="1:10">
      <c r="A124" s="22"/>
      <c r="B124" s="101" t="s">
        <v>137</v>
      </c>
      <c r="C124" s="101">
        <v>17.2</v>
      </c>
      <c r="E124" s="101">
        <v>49</v>
      </c>
      <c r="F124" s="38"/>
    </row>
    <row r="125" spans="1:10" ht="46.5">
      <c r="A125" s="22"/>
      <c r="B125" s="101" t="s">
        <v>141</v>
      </c>
      <c r="C125" s="101">
        <v>17.2</v>
      </c>
      <c r="E125" s="101">
        <v>9.4</v>
      </c>
      <c r="F125" s="38"/>
    </row>
    <row r="126" spans="1:10" ht="46.5">
      <c r="A126" s="22"/>
      <c r="B126" s="106" t="s">
        <v>142</v>
      </c>
      <c r="C126" s="106">
        <v>17.2</v>
      </c>
      <c r="E126" s="106">
        <v>22.8</v>
      </c>
      <c r="F126" s="38"/>
    </row>
    <row r="127" spans="1:10" ht="46.5">
      <c r="A127" s="22"/>
      <c r="B127" s="101" t="s">
        <v>143</v>
      </c>
      <c r="C127" s="101">
        <v>17.2</v>
      </c>
      <c r="D127" s="4"/>
      <c r="E127" s="101">
        <v>48.7</v>
      </c>
      <c r="F127" s="38"/>
    </row>
    <row r="128" spans="1:10" ht="30.95">
      <c r="A128" s="22"/>
      <c r="B128" s="101" t="s">
        <v>144</v>
      </c>
      <c r="C128" s="101">
        <v>17.2</v>
      </c>
      <c r="D128" s="101"/>
      <c r="E128" s="101">
        <v>81.099999999999994</v>
      </c>
      <c r="F128" s="38"/>
    </row>
    <row r="129" spans="1:10">
      <c r="A129" s="22"/>
      <c r="B129" s="91"/>
      <c r="C129" s="91"/>
      <c r="D129" s="91"/>
      <c r="E129" s="38"/>
      <c r="F129" s="38"/>
    </row>
    <row r="130" spans="1:10">
      <c r="A130" s="22"/>
      <c r="B130" s="91"/>
      <c r="C130" s="91"/>
      <c r="D130" s="91"/>
      <c r="E130" s="38"/>
      <c r="F130" s="38"/>
    </row>
    <row r="131" spans="1:10">
      <c r="A131" s="22"/>
      <c r="B131" s="91"/>
      <c r="C131" s="91"/>
      <c r="D131" s="91"/>
      <c r="E131" s="38"/>
      <c r="F131" s="38"/>
    </row>
    <row r="132" spans="1:10">
      <c r="A132" s="22"/>
      <c r="B132" s="94" t="s">
        <v>79</v>
      </c>
      <c r="C132" s="95">
        <v>2020</v>
      </c>
      <c r="D132" s="83">
        <v>2025</v>
      </c>
      <c r="E132" s="95">
        <v>2030</v>
      </c>
      <c r="F132" s="95">
        <v>2050</v>
      </c>
    </row>
    <row r="133" spans="1:10" ht="46.5">
      <c r="A133" s="22"/>
      <c r="B133" s="17" t="s">
        <v>145</v>
      </c>
      <c r="C133" s="13">
        <f>$C$117*C120</f>
        <v>2.3563999999999985</v>
      </c>
      <c r="D133" s="4"/>
      <c r="E133" s="13">
        <f>$D$117*D120</f>
        <v>4.2</v>
      </c>
      <c r="F133" s="13"/>
    </row>
    <row r="134" spans="1:10" ht="46.5">
      <c r="A134" s="22"/>
      <c r="B134" s="17" t="s">
        <v>146</v>
      </c>
      <c r="C134" s="13">
        <f>$C$117*C121</f>
        <v>2.3563999999999985</v>
      </c>
      <c r="D134" s="4"/>
      <c r="E134" s="13">
        <f>$D$117*D121</f>
        <v>2.4192</v>
      </c>
      <c r="F134" s="13"/>
    </row>
    <row r="135" spans="1:10" ht="62.1">
      <c r="A135" s="22"/>
      <c r="B135" s="17" t="s">
        <v>147</v>
      </c>
      <c r="C135" s="13">
        <f>$C$117*C122</f>
        <v>2.3563999999999985</v>
      </c>
      <c r="D135" s="4"/>
      <c r="E135" s="13">
        <f>$D$117*D122</f>
        <v>3.4776000000000002</v>
      </c>
      <c r="F135" s="13"/>
    </row>
    <row r="136" spans="1:10" ht="62.1">
      <c r="A136" s="22"/>
      <c r="B136" s="17" t="s">
        <v>148</v>
      </c>
      <c r="C136" s="13">
        <f>$C$117*C123</f>
        <v>2.3563999999999985</v>
      </c>
      <c r="D136" s="4"/>
      <c r="E136" s="13">
        <f>$D$117*D123</f>
        <v>3.0408000000000004</v>
      </c>
      <c r="F136" s="13"/>
    </row>
    <row r="137" spans="1:10">
      <c r="A137" s="22"/>
      <c r="B137" s="101" t="s">
        <v>137</v>
      </c>
      <c r="C137" s="101"/>
      <c r="D137" s="101"/>
      <c r="E137" s="13"/>
      <c r="F137" s="13">
        <f>E124*$E$117</f>
        <v>10.829000000000001</v>
      </c>
    </row>
    <row r="138" spans="1:10" ht="46.5">
      <c r="A138" s="22"/>
      <c r="B138" s="101" t="s">
        <v>141</v>
      </c>
      <c r="C138" s="101"/>
      <c r="D138" s="101"/>
      <c r="E138" s="13"/>
      <c r="F138" s="13">
        <f>E125*$E$117</f>
        <v>2.0773999999999999</v>
      </c>
    </row>
    <row r="139" spans="1:10" ht="46.5">
      <c r="A139" s="22"/>
      <c r="B139" s="101" t="s">
        <v>142</v>
      </c>
      <c r="C139" s="101"/>
      <c r="D139" s="101"/>
      <c r="E139" s="13"/>
      <c r="F139" s="13">
        <f t="shared" ref="F139:F141" si="0">E126*$E$117</f>
        <v>5.0388000000000002</v>
      </c>
    </row>
    <row r="140" spans="1:10" ht="46.5">
      <c r="A140" s="22"/>
      <c r="B140" s="101" t="s">
        <v>143</v>
      </c>
      <c r="C140" s="101"/>
      <c r="D140" s="101"/>
      <c r="E140" s="13"/>
      <c r="F140" s="13">
        <f t="shared" si="0"/>
        <v>10.762700000000001</v>
      </c>
    </row>
    <row r="141" spans="1:10" ht="30.95">
      <c r="A141" s="22"/>
      <c r="B141" s="101" t="s">
        <v>144</v>
      </c>
      <c r="C141" s="4"/>
      <c r="D141" s="4"/>
      <c r="E141" s="13"/>
      <c r="F141" s="13">
        <f t="shared" si="0"/>
        <v>17.923099999999998</v>
      </c>
    </row>
    <row r="142" spans="1:10">
      <c r="A142" s="22"/>
      <c r="B142" s="91"/>
      <c r="D142" s="38"/>
      <c r="E142" s="38"/>
      <c r="F142" s="38"/>
    </row>
    <row r="143" spans="1:10">
      <c r="A143" s="147" t="s">
        <v>149</v>
      </c>
      <c r="B143" s="147"/>
      <c r="C143" s="147"/>
      <c r="D143" s="147"/>
      <c r="E143" s="147"/>
      <c r="F143" s="147"/>
      <c r="G143" s="147"/>
      <c r="H143" s="147"/>
      <c r="I143" s="147"/>
      <c r="J143" s="147"/>
    </row>
    <row r="144" spans="1:10">
      <c r="A144" s="22"/>
      <c r="B144" s="91"/>
      <c r="D144" s="38"/>
      <c r="E144" s="38"/>
      <c r="F144" s="3"/>
    </row>
    <row r="145" spans="1:11" ht="46.5">
      <c r="A145" s="22"/>
      <c r="B145" s="94" t="s">
        <v>79</v>
      </c>
      <c r="C145" s="95">
        <v>2020</v>
      </c>
      <c r="D145" s="83">
        <v>2025</v>
      </c>
      <c r="E145" s="95">
        <v>2030</v>
      </c>
      <c r="F145" s="96">
        <v>2035</v>
      </c>
      <c r="G145" s="95">
        <v>2040</v>
      </c>
      <c r="H145" s="95">
        <v>2045</v>
      </c>
      <c r="I145" s="95">
        <v>2050</v>
      </c>
      <c r="K145" s="97" t="s">
        <v>150</v>
      </c>
    </row>
    <row r="146" spans="1:11" ht="30.95">
      <c r="A146" s="22"/>
      <c r="B146" s="17" t="s">
        <v>130</v>
      </c>
      <c r="C146" s="13">
        <f>C109*C72/1000/(1-C103)</f>
        <v>0.78992883934240365</v>
      </c>
      <c r="D146" s="4"/>
      <c r="E146" s="13">
        <f>E109*E72/1000/(1-D103)</f>
        <v>1.3863351227727869</v>
      </c>
      <c r="F146" s="13">
        <f>F109*F72/1000/(1-E103)</f>
        <v>1.8455480982998467</v>
      </c>
      <c r="G146" s="4"/>
      <c r="H146" s="4"/>
      <c r="I146" s="4"/>
      <c r="K146" s="4">
        <f>E146/C146</f>
        <v>1.7550126716817642</v>
      </c>
    </row>
    <row r="147" spans="1:11" ht="30.95">
      <c r="B147" s="17" t="s">
        <v>131</v>
      </c>
      <c r="C147" s="13">
        <f>C110*C72/1000/(1-C103)</f>
        <v>0.78992883934240365</v>
      </c>
      <c r="D147" s="4"/>
      <c r="E147" s="13">
        <f>E110*E72/1000/(1-D103)</f>
        <v>1.1235339491727869</v>
      </c>
      <c r="F147" s="13">
        <f>F110*F72/1000/(1-E103)</f>
        <v>1.3334637996998464</v>
      </c>
      <c r="G147" s="4"/>
      <c r="H147" s="4"/>
      <c r="I147" s="4"/>
      <c r="K147" s="4"/>
    </row>
    <row r="148" spans="1:11">
      <c r="B148" s="17" t="s">
        <v>84</v>
      </c>
      <c r="C148" s="13">
        <f>C112*C73/1000/(1-C104)</f>
        <v>9.3843200000000007</v>
      </c>
      <c r="D148" s="4"/>
      <c r="E148" s="13">
        <f>E112*E73/1000/(1-D104)</f>
        <v>12.565564898331962</v>
      </c>
      <c r="F148" s="13">
        <f>F112*F73/1000/(1-E104)</f>
        <v>15.221241630601078</v>
      </c>
      <c r="G148" s="4"/>
      <c r="H148" s="4"/>
      <c r="I148" s="4"/>
      <c r="K148" s="16">
        <f>1-E148/C148</f>
        <v>-0.33899578214851589</v>
      </c>
    </row>
    <row r="149" spans="1:11" ht="46.5">
      <c r="B149" s="17" t="s">
        <v>151</v>
      </c>
      <c r="C149" s="13">
        <f>C146+C148</f>
        <v>10.174248839342404</v>
      </c>
      <c r="D149" s="4"/>
      <c r="E149" s="13">
        <f>E146+E148</f>
        <v>13.951900021104748</v>
      </c>
      <c r="F149" s="13">
        <f>F146+F148</f>
        <v>17.066789728900925</v>
      </c>
      <c r="G149" s="4"/>
      <c r="H149" s="4"/>
      <c r="I149" s="4"/>
      <c r="K149" s="16">
        <f>1-E149/C149</f>
        <v>-0.37129533997189967</v>
      </c>
    </row>
    <row r="150" spans="1:11" ht="46.5">
      <c r="B150" s="17" t="s">
        <v>152</v>
      </c>
      <c r="C150" s="13">
        <f>C147+C148</f>
        <v>10.174248839342404</v>
      </c>
      <c r="D150" s="4"/>
      <c r="E150" s="13">
        <f>E147+E148</f>
        <v>13.689098847504749</v>
      </c>
      <c r="F150" s="13">
        <f>F147+F148</f>
        <v>16.554705430300924</v>
      </c>
      <c r="G150" s="4"/>
      <c r="H150" s="4"/>
      <c r="I150" s="4"/>
      <c r="K150" s="16">
        <f>1-E150/C150</f>
        <v>-0.34546530792238039</v>
      </c>
    </row>
    <row r="151" spans="1:11" ht="62.1">
      <c r="B151" s="17" t="s">
        <v>153</v>
      </c>
      <c r="C151" s="13">
        <f>C111*C72/1000/(1-C103)</f>
        <v>2.0531685060090705</v>
      </c>
      <c r="D151" s="4"/>
      <c r="E151" s="13">
        <f>E111*E72/1000/(1-D103)</f>
        <v>3.1830699433716161</v>
      </c>
      <c r="F151" s="13"/>
      <c r="G151" s="4"/>
      <c r="H151" s="4"/>
      <c r="I151" s="4"/>
      <c r="K151" s="16">
        <f>1-E151/C149</f>
        <v>0.68714447684205171</v>
      </c>
    </row>
    <row r="152" spans="1:11" ht="46.5">
      <c r="B152" s="107" t="s">
        <v>154</v>
      </c>
      <c r="C152" s="13">
        <f>C133+C148</f>
        <v>11.74072</v>
      </c>
      <c r="D152" s="4"/>
      <c r="E152" s="13">
        <f>E133+$E$148</f>
        <v>16.765564898331963</v>
      </c>
      <c r="F152" s="4"/>
      <c r="G152" s="4"/>
      <c r="H152" s="4"/>
      <c r="I152" s="4"/>
      <c r="K152" s="16"/>
    </row>
    <row r="153" spans="1:11" ht="46.5">
      <c r="B153" s="107" t="s">
        <v>155</v>
      </c>
      <c r="C153" s="13">
        <f>C134+C148</f>
        <v>11.74072</v>
      </c>
      <c r="D153" s="4"/>
      <c r="E153" s="13">
        <f t="shared" ref="E153:E155" si="1">E134+$E$148</f>
        <v>14.984764898331962</v>
      </c>
      <c r="F153" s="4"/>
      <c r="G153" s="4"/>
      <c r="H153" s="4"/>
      <c r="I153" s="4"/>
      <c r="K153" s="16"/>
    </row>
    <row r="154" spans="1:11" ht="62.1">
      <c r="B154" s="17" t="s">
        <v>156</v>
      </c>
      <c r="C154" s="13">
        <f>C135+C148</f>
        <v>11.74072</v>
      </c>
      <c r="D154" s="4"/>
      <c r="E154" s="13">
        <f t="shared" si="1"/>
        <v>16.043164898331963</v>
      </c>
      <c r="F154" s="4"/>
      <c r="G154" s="4"/>
      <c r="H154" s="4"/>
      <c r="I154" s="4"/>
      <c r="K154" s="16"/>
    </row>
    <row r="155" spans="1:11" ht="62.1">
      <c r="B155" s="17" t="s">
        <v>157</v>
      </c>
      <c r="C155" s="13">
        <f>C136+C148</f>
        <v>11.74072</v>
      </c>
      <c r="D155" s="4"/>
      <c r="E155" s="13">
        <f t="shared" si="1"/>
        <v>15.606364898331963</v>
      </c>
      <c r="F155" s="4"/>
      <c r="G155" s="4"/>
      <c r="H155" s="4"/>
      <c r="I155" s="4"/>
      <c r="K155" s="16"/>
    </row>
    <row r="156" spans="1:11">
      <c r="B156" s="101" t="s">
        <v>137</v>
      </c>
      <c r="C156" s="101">
        <f>C152</f>
        <v>11.74072</v>
      </c>
      <c r="D156" s="101"/>
      <c r="E156" s="13"/>
      <c r="F156" s="4"/>
      <c r="G156" s="4"/>
      <c r="H156" s="4"/>
      <c r="I156" s="13">
        <f>F137</f>
        <v>10.829000000000001</v>
      </c>
      <c r="K156" s="16"/>
    </row>
    <row r="157" spans="1:11" ht="46.5">
      <c r="B157" s="101" t="s">
        <v>141</v>
      </c>
      <c r="C157" s="101">
        <f>C156</f>
        <v>11.74072</v>
      </c>
      <c r="D157" s="101"/>
      <c r="E157" s="13"/>
      <c r="F157" s="4"/>
      <c r="G157" s="4"/>
      <c r="H157" s="4"/>
      <c r="I157" s="13">
        <f>F138</f>
        <v>2.0773999999999999</v>
      </c>
      <c r="K157" s="16"/>
    </row>
    <row r="158" spans="1:11" ht="46.5">
      <c r="B158" s="101" t="s">
        <v>142</v>
      </c>
      <c r="C158" s="101">
        <f t="shared" ref="C158:C160" si="2">C157</f>
        <v>11.74072</v>
      </c>
      <c r="D158" s="101"/>
      <c r="E158" s="13"/>
      <c r="F158" s="4"/>
      <c r="G158" s="4"/>
      <c r="H158" s="4"/>
      <c r="I158" s="13">
        <f>F139</f>
        <v>5.0388000000000002</v>
      </c>
      <c r="K158" s="16"/>
    </row>
    <row r="159" spans="1:11" ht="46.5">
      <c r="B159" s="101" t="s">
        <v>143</v>
      </c>
      <c r="C159" s="101">
        <f t="shared" si="2"/>
        <v>11.74072</v>
      </c>
      <c r="D159" s="101"/>
      <c r="E159" s="13"/>
      <c r="F159" s="4"/>
      <c r="G159" s="4"/>
      <c r="H159" s="4"/>
      <c r="I159" s="13">
        <f>F140</f>
        <v>10.762700000000001</v>
      </c>
      <c r="K159" s="16"/>
    </row>
    <row r="160" spans="1:11" ht="30.95">
      <c r="B160" s="101" t="s">
        <v>144</v>
      </c>
      <c r="C160" s="101">
        <f t="shared" si="2"/>
        <v>11.74072</v>
      </c>
      <c r="D160" s="101"/>
      <c r="E160" s="13"/>
      <c r="F160" s="4"/>
      <c r="G160" s="4"/>
      <c r="H160" s="4"/>
      <c r="I160" s="13">
        <f>F141</f>
        <v>17.923099999999998</v>
      </c>
      <c r="K160" s="16"/>
    </row>
    <row r="161" spans="1:11">
      <c r="B161" s="17" t="s">
        <v>158</v>
      </c>
      <c r="C161" s="13">
        <f>C149</f>
        <v>10.174248839342404</v>
      </c>
      <c r="D161" s="4"/>
      <c r="E161" s="13">
        <f>0.7*C147+0.55*C148</f>
        <v>5.7143261875396831</v>
      </c>
      <c r="F161" s="13">
        <f>E161+(I161-E161)/4</f>
        <v>4.5401008616383223</v>
      </c>
      <c r="G161" s="4"/>
      <c r="H161" s="4"/>
      <c r="I161" s="5">
        <f>0.1*C161</f>
        <v>1.0174248839342404</v>
      </c>
      <c r="K161" s="16">
        <f>1-C161/C150</f>
        <v>0</v>
      </c>
    </row>
    <row r="162" spans="1:11" ht="30.95">
      <c r="B162" s="17" t="s">
        <v>159</v>
      </c>
      <c r="C162" s="38">
        <f>0.1*C149</f>
        <v>1.0174248839342404</v>
      </c>
      <c r="E162" s="38"/>
      <c r="F162" s="38"/>
      <c r="G162" s="14"/>
    </row>
    <row r="163" spans="1:11">
      <c r="C163" s="38"/>
    </row>
    <row r="164" spans="1:11">
      <c r="A164" s="147" t="s">
        <v>160</v>
      </c>
      <c r="B164" s="147"/>
      <c r="C164" s="147"/>
      <c r="D164" s="147"/>
      <c r="E164" s="147"/>
      <c r="F164" s="147"/>
      <c r="G164" s="147"/>
      <c r="H164" s="147"/>
      <c r="I164" s="147"/>
      <c r="J164" s="147"/>
    </row>
    <row r="165" spans="1:11">
      <c r="C165" s="38"/>
    </row>
    <row r="166" spans="1:11">
      <c r="B166" s="94" t="s">
        <v>79</v>
      </c>
      <c r="C166" s="95">
        <v>2020</v>
      </c>
      <c r="D166" s="83">
        <v>2025</v>
      </c>
      <c r="E166" s="95">
        <v>2030</v>
      </c>
      <c r="F166" s="96">
        <v>2035</v>
      </c>
    </row>
    <row r="167" spans="1:11" ht="30.95">
      <c r="B167" s="17" t="s">
        <v>130</v>
      </c>
      <c r="C167" s="13">
        <f>C109*C72/1000/(1-C103)</f>
        <v>0.78992883934240365</v>
      </c>
      <c r="D167" s="4"/>
      <c r="E167" s="13">
        <f>E109*E72/1000/(1-D103)</f>
        <v>1.3863351227727869</v>
      </c>
      <c r="F167" s="13">
        <f>F109*F72/1000/(1-E103)</f>
        <v>1.8455480982998467</v>
      </c>
    </row>
    <row r="168" spans="1:11" ht="30.95">
      <c r="B168" s="17" t="s">
        <v>131</v>
      </c>
      <c r="C168" s="13">
        <f>C110*C72/1000/(1-C103)</f>
        <v>0.78992883934240365</v>
      </c>
      <c r="D168" s="4"/>
      <c r="E168" s="13">
        <f>E110*E72/1000/(1-D103)</f>
        <v>1.1235339491727869</v>
      </c>
      <c r="F168" s="13">
        <f>F110*F72/1000/(1-E103)</f>
        <v>1.3334637996998464</v>
      </c>
    </row>
    <row r="169" spans="1:11">
      <c r="B169" s="17" t="s">
        <v>84</v>
      </c>
      <c r="C169" s="13">
        <f>C112*C73/1000/(1-C104)</f>
        <v>9.3843200000000007</v>
      </c>
      <c r="D169" s="4"/>
      <c r="E169" s="13">
        <f>E112*D73/1000/(1-D104)</f>
        <v>18.445604882807817</v>
      </c>
      <c r="F169" s="13">
        <f>F112*D73/1000/(1-E104)</f>
        <v>31.832550990024174</v>
      </c>
    </row>
    <row r="170" spans="1:11" ht="46.5">
      <c r="B170" s="17" t="s">
        <v>151</v>
      </c>
      <c r="C170" s="13">
        <f>C167+C169</f>
        <v>10.174248839342404</v>
      </c>
      <c r="D170" s="4"/>
      <c r="E170" s="13">
        <f>E167+E169</f>
        <v>19.831940005580606</v>
      </c>
      <c r="F170" s="13">
        <f>F167+F169</f>
        <v>33.678099088324018</v>
      </c>
    </row>
    <row r="171" spans="1:11" ht="46.5">
      <c r="B171" s="17" t="s">
        <v>152</v>
      </c>
      <c r="C171" s="13">
        <f>C168+C169</f>
        <v>10.174248839342404</v>
      </c>
      <c r="D171" s="4"/>
      <c r="E171" s="13">
        <f>E168+E169</f>
        <v>19.569138831980606</v>
      </c>
      <c r="F171" s="13">
        <f>F168+F169</f>
        <v>33.166014789724024</v>
      </c>
    </row>
    <row r="172" spans="1:11" ht="62.1">
      <c r="B172" s="17" t="s">
        <v>153</v>
      </c>
      <c r="C172" s="13">
        <f>C111*C72/1000/(1-C103)</f>
        <v>2.0531685060090705</v>
      </c>
      <c r="D172" s="4"/>
      <c r="E172" s="13"/>
      <c r="F172" s="13"/>
    </row>
    <row r="173" spans="1:11">
      <c r="C173" s="38"/>
    </row>
    <row r="174" spans="1:11">
      <c r="A174" s="147" t="s">
        <v>161</v>
      </c>
      <c r="B174" s="147"/>
      <c r="C174" s="147"/>
      <c r="D174" s="147"/>
      <c r="E174" s="147"/>
      <c r="F174" s="147"/>
      <c r="G174" s="147"/>
      <c r="H174" s="147"/>
      <c r="I174" s="147"/>
      <c r="J174" s="147"/>
    </row>
    <row r="177" spans="1:11">
      <c r="C177" s="148" t="s">
        <v>162</v>
      </c>
      <c r="D177" s="149"/>
      <c r="E177" s="149"/>
      <c r="F177" s="150"/>
      <c r="G177" s="148" t="s">
        <v>50</v>
      </c>
      <c r="H177" s="149"/>
      <c r="I177" s="149"/>
      <c r="J177" s="149"/>
      <c r="K177" s="149"/>
    </row>
    <row r="178" spans="1:11" s="40" customFormat="1" ht="77.45">
      <c r="A178" s="17"/>
      <c r="B178" s="99" t="s">
        <v>163</v>
      </c>
      <c r="C178" s="100" t="s">
        <v>164</v>
      </c>
      <c r="D178" s="100" t="s">
        <v>165</v>
      </c>
      <c r="E178" s="100" t="s">
        <v>166</v>
      </c>
      <c r="F178" s="100" t="s">
        <v>167</v>
      </c>
      <c r="G178" s="100" t="s">
        <v>168</v>
      </c>
      <c r="H178" s="100" t="s">
        <v>169</v>
      </c>
      <c r="I178" s="100" t="s">
        <v>170</v>
      </c>
      <c r="J178" s="100" t="s">
        <v>171</v>
      </c>
      <c r="K178" s="100" t="s">
        <v>172</v>
      </c>
    </row>
    <row r="179" spans="1:11">
      <c r="A179" s="4" t="s">
        <v>82</v>
      </c>
      <c r="B179" s="101">
        <f>C109</f>
        <v>8.335513605442177</v>
      </c>
      <c r="C179" s="13">
        <f>C146</f>
        <v>0.78992883934240365</v>
      </c>
      <c r="D179" s="13">
        <f>0.7*C146</f>
        <v>0.5529501875396825</v>
      </c>
      <c r="E179" s="102" t="s">
        <v>126</v>
      </c>
      <c r="F179" s="102" t="s">
        <v>126</v>
      </c>
      <c r="G179" s="13">
        <f>J34</f>
        <v>18.888214331848477</v>
      </c>
      <c r="H179" s="13">
        <f>D179/E72*(1-D103)*1000</f>
        <v>9.2958843520260448</v>
      </c>
      <c r="I179" s="19">
        <f>E181/G72*1000*(1-F103)</f>
        <v>65.289297364764082</v>
      </c>
      <c r="J179" s="102" t="s">
        <v>126</v>
      </c>
      <c r="K179" s="4"/>
    </row>
    <row r="180" spans="1:11">
      <c r="A180" s="4" t="s">
        <v>84</v>
      </c>
      <c r="B180" s="101">
        <f>C112</f>
        <v>13.33</v>
      </c>
      <c r="C180" s="13">
        <f>C148</f>
        <v>9.3843200000000007</v>
      </c>
      <c r="D180" s="13">
        <f>0.55*C148</f>
        <v>5.1613760000000006</v>
      </c>
      <c r="E180" s="102" t="s">
        <v>126</v>
      </c>
      <c r="F180" s="140">
        <f>J180*G73/1000/(1-F104)</f>
        <v>0.44400000000000001</v>
      </c>
      <c r="G180" s="13">
        <f>C112</f>
        <v>13.33</v>
      </c>
      <c r="H180" s="13">
        <f>D180/E73*1000*(1-D104)</f>
        <v>12.407153846153847</v>
      </c>
      <c r="I180" s="4"/>
      <c r="J180" s="139">
        <v>3</v>
      </c>
      <c r="K180" s="140">
        <f>(E181-F180)/G72*1000*(1-F103)</f>
        <v>36.797318755138427</v>
      </c>
    </row>
    <row r="181" spans="1:11">
      <c r="A181" s="4" t="s">
        <v>8</v>
      </c>
      <c r="B181" s="101">
        <f>B180+B179</f>
        <v>21.665513605442179</v>
      </c>
      <c r="C181" s="13">
        <f>SUM(C179:C180)</f>
        <v>10.174248839342404</v>
      </c>
      <c r="D181" s="13">
        <f>D180+D179</f>
        <v>5.7143261875396831</v>
      </c>
      <c r="E181" s="13">
        <f>0.1*C181</f>
        <v>1.0174248839342404</v>
      </c>
      <c r="F181" s="4"/>
      <c r="G181" s="4"/>
      <c r="H181" s="4"/>
      <c r="I181" s="4"/>
      <c r="J181" s="4"/>
      <c r="K181" s="4"/>
    </row>
    <row r="187" spans="1:11" ht="62.1">
      <c r="B187" s="100" t="s">
        <v>173</v>
      </c>
      <c r="C187" s="100" t="s">
        <v>174</v>
      </c>
    </row>
    <row r="188" spans="1:11">
      <c r="B188" s="17">
        <v>0</v>
      </c>
      <c r="C188" s="4">
        <f>($E$181-B188*$G$73/1000/(1-$F$104))/$G$72*1000*(1-$F$103)</f>
        <v>65.289297364764082</v>
      </c>
    </row>
    <row r="189" spans="1:11">
      <c r="B189" s="17">
        <v>1</v>
      </c>
      <c r="C189" s="4">
        <f t="shared" ref="C189:C203" si="3">($E$181-B189*$G$73/1000/(1-$F$104))/$G$72*1000*(1-$F$103)</f>
        <v>55.79197116155553</v>
      </c>
    </row>
    <row r="190" spans="1:11">
      <c r="B190" s="17">
        <v>2</v>
      </c>
      <c r="C190" s="4">
        <f t="shared" si="3"/>
        <v>46.294644958346971</v>
      </c>
    </row>
    <row r="191" spans="1:11">
      <c r="B191" s="17">
        <v>3</v>
      </c>
      <c r="C191" s="4">
        <f t="shared" si="3"/>
        <v>36.797318755138427</v>
      </c>
    </row>
    <row r="192" spans="1:11">
      <c r="B192" s="17">
        <v>4</v>
      </c>
      <c r="C192" s="4">
        <f t="shared" si="3"/>
        <v>27.299992551929861</v>
      </c>
    </row>
    <row r="193" spans="2:3">
      <c r="B193" s="17">
        <v>5</v>
      </c>
      <c r="C193" s="4">
        <f t="shared" si="3"/>
        <v>17.802666348721299</v>
      </c>
    </row>
    <row r="194" spans="2:3">
      <c r="B194" s="17">
        <v>6</v>
      </c>
      <c r="C194" s="4">
        <f t="shared" si="3"/>
        <v>8.3053401455127496</v>
      </c>
    </row>
    <row r="195" spans="2:3">
      <c r="B195" s="17">
        <v>6.9</v>
      </c>
      <c r="C195" s="4">
        <f t="shared" ref="C195" si="4">($E$181-B195*$G$73/1000/(1-$F$104))/$G$72*1000*(1-$F$103)</f>
        <v>-0.24225343737495747</v>
      </c>
    </row>
    <row r="196" spans="2:3">
      <c r="B196" s="17">
        <v>7</v>
      </c>
      <c r="C196" s="4">
        <f t="shared" si="3"/>
        <v>-1.1919860576958081</v>
      </c>
    </row>
    <row r="197" spans="2:3">
      <c r="B197" s="17">
        <v>8</v>
      </c>
      <c r="C197" s="4">
        <f t="shared" si="3"/>
        <v>-10.68931226090436</v>
      </c>
    </row>
    <row r="198" spans="2:3">
      <c r="B198" s="17">
        <v>9</v>
      </c>
      <c r="C198" s="4">
        <f t="shared" si="3"/>
        <v>-20.186638464112924</v>
      </c>
    </row>
    <row r="199" spans="2:3">
      <c r="B199" s="17">
        <v>10</v>
      </c>
      <c r="C199" s="4">
        <f t="shared" si="3"/>
        <v>-29.683964667321487</v>
      </c>
    </row>
    <row r="200" spans="2:3">
      <c r="B200" s="17">
        <v>11</v>
      </c>
      <c r="C200" s="4">
        <f t="shared" si="3"/>
        <v>-39.181290870530042</v>
      </c>
    </row>
    <row r="201" spans="2:3">
      <c r="B201" s="17">
        <v>12</v>
      </c>
      <c r="C201" s="4">
        <f t="shared" si="3"/>
        <v>-48.678617073738586</v>
      </c>
    </row>
    <row r="202" spans="2:3">
      <c r="B202" s="17">
        <v>13</v>
      </c>
      <c r="C202" s="4">
        <f t="shared" si="3"/>
        <v>-58.175943276947159</v>
      </c>
    </row>
    <row r="203" spans="2:3">
      <c r="B203" s="17">
        <v>14</v>
      </c>
      <c r="C203" s="4">
        <f t="shared" si="3"/>
        <v>-67.67326948015571</v>
      </c>
    </row>
  </sheetData>
  <mergeCells count="14">
    <mergeCell ref="A6:O6"/>
    <mergeCell ref="A164:J164"/>
    <mergeCell ref="C177:F177"/>
    <mergeCell ref="G177:K177"/>
    <mergeCell ref="A26:O26"/>
    <mergeCell ref="A58:O58"/>
    <mergeCell ref="A65:O65"/>
    <mergeCell ref="A67:M67"/>
    <mergeCell ref="A69:J69"/>
    <mergeCell ref="A100:J100"/>
    <mergeCell ref="A106:J106"/>
    <mergeCell ref="A114:J114"/>
    <mergeCell ref="A143:J143"/>
    <mergeCell ref="A174:J174"/>
  </mergeCell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D6DB5-19B5-AD4F-A5F6-D92D400EB7E7}">
  <sheetPr>
    <tabColor theme="7"/>
  </sheetPr>
  <dimension ref="A1:N4"/>
  <sheetViews>
    <sheetView zoomScale="59" zoomScaleNormal="40" workbookViewId="0"/>
  </sheetViews>
  <sheetFormatPr defaultColWidth="11.5546875" defaultRowHeight="15.6"/>
  <cols>
    <col min="1" max="1" width="25.33203125" customWidth="1"/>
    <col min="2" max="2" width="11.5546875" customWidth="1"/>
  </cols>
  <sheetData>
    <row r="1" spans="1:14" ht="29.1" customHeight="1">
      <c r="B1" s="153" t="s">
        <v>175</v>
      </c>
      <c r="C1" s="153"/>
      <c r="D1" s="153"/>
      <c r="F1" s="136" t="s">
        <v>176</v>
      </c>
      <c r="G1" s="137" t="s">
        <v>177</v>
      </c>
    </row>
    <row r="3" spans="1:14">
      <c r="A3" s="75"/>
      <c r="B3" s="75">
        <v>2020</v>
      </c>
      <c r="C3" s="75">
        <v>2024</v>
      </c>
      <c r="D3" s="75">
        <v>2025</v>
      </c>
      <c r="E3" s="75">
        <v>2026</v>
      </c>
      <c r="F3" s="75">
        <v>2027</v>
      </c>
      <c r="G3" s="75">
        <v>2028</v>
      </c>
      <c r="H3" s="75">
        <v>2029</v>
      </c>
      <c r="I3" s="75">
        <v>2030</v>
      </c>
      <c r="J3" s="75">
        <v>2031</v>
      </c>
      <c r="K3" s="75">
        <v>2032</v>
      </c>
      <c r="L3" s="75">
        <v>2033</v>
      </c>
      <c r="M3" s="75">
        <v>2034</v>
      </c>
      <c r="N3" s="75">
        <v>2035</v>
      </c>
    </row>
    <row r="4" spans="1:14">
      <c r="A4" s="103" t="s">
        <v>178</v>
      </c>
      <c r="B4" s="5" cm="1">
        <f t="array" aca="1" ref="B4" ca="1">INDIRECT("'" &amp;B$1 &amp; "'!C9")</f>
        <v>8.335513605442177</v>
      </c>
      <c r="C4" s="5" cm="1">
        <f t="array" aca="1" ref="C4" ca="1">INDIRECT("'" &amp;$B1 &amp; "'!D9")</f>
        <v>11.629626874197447</v>
      </c>
      <c r="D4" s="5" cm="1">
        <f t="array" aca="1" ref="D4" ca="1">INDIRECT("'" &amp;$B$1 &amp; "'!E9")</f>
        <v>12.437999071747397</v>
      </c>
      <c r="E4" s="5" cm="1">
        <f t="array" aca="1" ref="E4" ca="1">INDIRECT("'" &amp;$B$1 &amp; "'!F9")</f>
        <v>13.106278304188379</v>
      </c>
      <c r="F4" s="5" cm="1">
        <f t="array" aca="1" ref="F4" ca="1">INDIRECT("'" &amp;$B$1 &amp; "'!G9")</f>
        <v>13.836102481442399</v>
      </c>
      <c r="G4" s="5" cm="1">
        <f t="array" aca="1" ref="G4" ca="1">INDIRECT("'" &amp;$B$1 &amp; "'!H9")</f>
        <v>16.034792322630157</v>
      </c>
      <c r="H4" s="5" cm="1">
        <f t="array" aca="1" ref="H4" ca="1">INDIRECT("'" &amp;$B$1 &amp; "'!I9")</f>
        <v>19.369261363518589</v>
      </c>
      <c r="I4" s="5" cm="1">
        <f t="array" aca="1" ref="I4" ca="1">INDIRECT("'" &amp;$B$1 &amp; "'!J9")</f>
        <v>23.306278331848475</v>
      </c>
      <c r="J4" s="5" cm="1">
        <f t="array" aca="1" ref="J4" ca="1">INDIRECT("'" &amp;$B$1 &amp; "'!K9")</f>
        <v>27.826293022769988</v>
      </c>
      <c r="K4" s="5" cm="1">
        <f t="array" aca="1" ref="K4" ca="1">INDIRECT("'" &amp;$B$1 &amp; "'!L9")</f>
        <v>32.937127177886502</v>
      </c>
      <c r="L4" s="5" cm="1">
        <f t="array" aca="1" ref="L4" ca="1">INDIRECT("'" &amp;$B$1 &amp; "'!M9")</f>
        <v>37.174581547426079</v>
      </c>
      <c r="M4" s="5" cm="1">
        <f t="array" aca="1" ref="M4" ca="1">INDIRECT("'" &amp;$B$1 &amp; "'!N9")</f>
        <v>41.244130379261527</v>
      </c>
      <c r="N4" s="5" cm="1">
        <f t="array" aca="1" ref="N4" ca="1">INDIRECT("'" &amp;$B$1 &amp; "'!O9")</f>
        <v>45.114233407207493</v>
      </c>
    </row>
  </sheetData>
  <mergeCells count="1">
    <mergeCell ref="B1:D1"/>
  </mergeCells>
  <dataValidations count="1">
    <dataValidation type="list" allowBlank="1" showInputMessage="1" showErrorMessage="1" sqref="B1" xr:uid="{4A1C1F09-A37A-974B-9E7E-C5344899A049}">
      <formula1>"Sc nouveau tendanciel,Sc ancien tendanciel,Sc cible"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249ac2a-b211-4fea-a23e-058f661af758">
      <Terms xmlns="http://schemas.microsoft.com/office/infopath/2007/PartnerControls"/>
    </lcf76f155ced4ddcb4097134ff3c332f>
    <TaxCatchAll xmlns="8f1b8a44-2e81-425d-8025-2e5e0436f25e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F8D0E12706CA4F88F078CAAF1F0285" ma:contentTypeVersion="13" ma:contentTypeDescription="Crée un document." ma:contentTypeScope="" ma:versionID="65e44b94b80c847526fb1aad9e5e7274">
  <xsd:schema xmlns:xsd="http://www.w3.org/2001/XMLSchema" xmlns:xs="http://www.w3.org/2001/XMLSchema" xmlns:p="http://schemas.microsoft.com/office/2006/metadata/properties" xmlns:ns2="e249ac2a-b211-4fea-a23e-058f661af758" xmlns:ns3="8f1b8a44-2e81-425d-8025-2e5e0436f25e" targetNamespace="http://schemas.microsoft.com/office/2006/metadata/properties" ma:root="true" ma:fieldsID="55ef6f2f567e5000964d2f8daa3d1dd4" ns2:_="" ns3:_="">
    <xsd:import namespace="e249ac2a-b211-4fea-a23e-058f661af758"/>
    <xsd:import namespace="8f1b8a44-2e81-425d-8025-2e5e0436f25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49ac2a-b211-4fea-a23e-058f661af7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9c47289d-44d4-4518-8531-d864f6d3e1e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1b8a44-2e81-425d-8025-2e5e0436f25e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f8f2c3c-97c3-401f-9e00-dc202c827de0}" ma:internalName="TaxCatchAll" ma:showField="CatchAllData" ma:web="8f1b8a44-2e81-425d-8025-2e5e0436f25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236D52C-9A8B-41D9-921B-3B5DB5D04361}"/>
</file>

<file path=customXml/itemProps2.xml><?xml version="1.0" encoding="utf-8"?>
<ds:datastoreItem xmlns:ds="http://schemas.openxmlformats.org/officeDocument/2006/customXml" ds:itemID="{1BD0B8E3-3612-452B-BA6C-2E1D6BF3B837}"/>
</file>

<file path=customXml/itemProps3.xml><?xml version="1.0" encoding="utf-8"?>
<ds:datastoreItem xmlns:ds="http://schemas.openxmlformats.org/officeDocument/2006/customXml" ds:itemID="{9F1949C8-4EC2-427A-BE51-02029887DC1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Pauline Denis</dc:creator>
  <cp:keywords/>
  <dc:description/>
  <cp:lastModifiedBy>Lucas Scaltritti</cp:lastModifiedBy>
  <cp:revision/>
  <dcterms:created xsi:type="dcterms:W3CDTF">2025-06-04T13:47:45Z</dcterms:created>
  <dcterms:modified xsi:type="dcterms:W3CDTF">2025-10-03T14:38:20Z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0x01010059F8D0E12706CA4F88F078CAAF1F0285</vt:lpwstr>
  </property>
</Properties>
</file>